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750" yWindow="-15" windowWidth="11910" windowHeight="9840" tabRatio="802"/>
  </bookViews>
  <sheets>
    <sheet name="1. Coleta Domiciliar" sheetId="2" r:id="rId1"/>
    <sheet name="2.Encargos Sociais" sheetId="8" r:id="rId2"/>
    <sheet name="3.CAGED" sheetId="5" r:id="rId3"/>
    <sheet name="4.BDI" sheetId="4" r:id="rId4"/>
    <sheet name="5. Depreciação" sheetId="6" r:id="rId5"/>
    <sheet name="6.Remuneração de capital" sheetId="7" r:id="rId6"/>
    <sheet name="7. Dimensionamento" sheetId="9" r:id="rId7"/>
  </sheets>
  <definedNames>
    <definedName name="AbaDeprec">'5. Depreciação'!$A$1</definedName>
    <definedName name="AbaRemun">'6.Remuneração de capital'!$A$1</definedName>
    <definedName name="_xlnm.Print_Area" localSheetId="0">'1. Coleta Domiciliar'!$A$1:$F$286</definedName>
    <definedName name="_xlnm.Print_Area" localSheetId="1">'2.Encargos Sociais'!$A$1:$C$39</definedName>
    <definedName name="_xlnm.Print_Titles" localSheetId="0">'1. Coleta Domiciliar'!#REF!</definedName>
  </definedNames>
  <calcPr calcId="125725"/>
</workbook>
</file>

<file path=xl/calcChain.xml><?xml version="1.0" encoding="utf-8"?>
<calcChain xmlns="http://schemas.openxmlformats.org/spreadsheetml/2006/main">
  <c r="D60" i="2"/>
  <c r="E60" s="1"/>
  <c r="C62"/>
  <c r="C65"/>
  <c r="C68"/>
  <c r="C70"/>
  <c r="E75"/>
  <c r="D65" l="1"/>
  <c r="E65" s="1"/>
  <c r="D62"/>
  <c r="E62" s="1"/>
  <c r="D66"/>
  <c r="E66" s="1"/>
  <c r="D68"/>
  <c r="E68" s="1"/>
  <c r="D63"/>
  <c r="E63" s="1"/>
  <c r="C21" i="9"/>
  <c r="D69" i="2" l="1"/>
  <c r="E69" s="1"/>
  <c r="C23" i="5"/>
  <c r="D70" i="2" l="1"/>
  <c r="E70" s="1"/>
  <c r="E71" s="1"/>
  <c r="D72" s="1"/>
  <c r="C208"/>
  <c r="C207"/>
  <c r="C209"/>
  <c r="A25" l="1"/>
  <c r="A24"/>
  <c r="A23"/>
  <c r="A15"/>
  <c r="A14"/>
  <c r="A6"/>
  <c r="C13" i="9" l="1"/>
  <c r="C14" s="1"/>
  <c r="C15" l="1"/>
  <c r="C17"/>
  <c r="C22" s="1"/>
  <c r="C24" s="1"/>
  <c r="C178" i="2"/>
  <c r="C183"/>
  <c r="E34" l="1"/>
  <c r="E32"/>
  <c r="E31"/>
  <c r="C202" l="1"/>
  <c r="C197"/>
  <c r="D227"/>
  <c r="D225"/>
  <c r="D223"/>
  <c r="D221"/>
  <c r="D157" l="1"/>
  <c r="E157" s="1"/>
  <c r="E141"/>
  <c r="E142"/>
  <c r="E143"/>
  <c r="E144"/>
  <c r="E145"/>
  <c r="E146"/>
  <c r="E147"/>
  <c r="E148"/>
  <c r="E149"/>
  <c r="E140"/>
  <c r="D49" l="1"/>
  <c r="E49" s="1"/>
  <c r="D48"/>
  <c r="E48" s="1"/>
  <c r="D81"/>
  <c r="E81" s="1"/>
  <c r="C100"/>
  <c r="D50" l="1"/>
  <c r="E50" s="1"/>
  <c r="C103"/>
  <c r="D82"/>
  <c r="E82" s="1"/>
  <c r="D83" s="1"/>
  <c r="E83" s="1"/>
  <c r="C242" l="1"/>
  <c r="D95"/>
  <c r="A22"/>
  <c r="A21"/>
  <c r="A20"/>
  <c r="A19"/>
  <c r="A18"/>
  <c r="A17"/>
  <c r="A16"/>
  <c r="A13"/>
  <c r="A12"/>
  <c r="A11"/>
  <c r="A10"/>
  <c r="A9"/>
  <c r="A8"/>
  <c r="A7"/>
  <c r="C20" i="8"/>
  <c r="E267" i="2"/>
  <c r="E211"/>
  <c r="E203"/>
  <c r="E187"/>
  <c r="E165"/>
  <c r="E152"/>
  <c r="E131"/>
  <c r="E111"/>
  <c r="E90"/>
  <c r="E56"/>
  <c r="D191"/>
  <c r="C15" i="4"/>
  <c r="C20" s="1"/>
  <c r="F13"/>
  <c r="E13"/>
  <c r="D13"/>
  <c r="C17" i="8"/>
  <c r="C25" i="5"/>
  <c r="C106" i="2"/>
  <c r="C97"/>
  <c r="D94"/>
  <c r="D100" s="1"/>
  <c r="E100" s="1"/>
  <c r="E79"/>
  <c r="D118" s="1"/>
  <c r="C118"/>
  <c r="C240"/>
  <c r="E240" s="1"/>
  <c r="C219"/>
  <c r="C221" s="1"/>
  <c r="E221" s="1"/>
  <c r="D219"/>
  <c r="D228" s="1"/>
  <c r="E175"/>
  <c r="D196"/>
  <c r="C184"/>
  <c r="C179"/>
  <c r="C263"/>
  <c r="C265" s="1"/>
  <c r="E265" s="1"/>
  <c r="D266" s="1"/>
  <c r="E266" s="1"/>
  <c r="C180"/>
  <c r="C196" s="1"/>
  <c r="C117"/>
  <c r="A31"/>
  <c r="A32"/>
  <c r="A33"/>
  <c r="A34"/>
  <c r="A38"/>
  <c r="E47"/>
  <c r="D117" s="1"/>
  <c r="A123"/>
  <c r="A129" s="1"/>
  <c r="A124"/>
  <c r="A130" s="1"/>
  <c r="E150"/>
  <c r="D158"/>
  <c r="E158" s="1"/>
  <c r="D159"/>
  <c r="E159" s="1"/>
  <c r="D160"/>
  <c r="E160" s="1"/>
  <c r="D161"/>
  <c r="E161" s="1"/>
  <c r="D162"/>
  <c r="E162" s="1"/>
  <c r="E163"/>
  <c r="E238"/>
  <c r="E209"/>
  <c r="E208"/>
  <c r="E251"/>
  <c r="E254"/>
  <c r="E255"/>
  <c r="E252"/>
  <c r="E253"/>
  <c r="D85" l="1"/>
  <c r="E85" s="1"/>
  <c r="E86" s="1"/>
  <c r="C27" i="5"/>
  <c r="C28" s="1"/>
  <c r="C26"/>
  <c r="C31" i="8" s="1"/>
  <c r="D178" i="2"/>
  <c r="D207"/>
  <c r="E94"/>
  <c r="D98"/>
  <c r="E98" s="1"/>
  <c r="D101"/>
  <c r="E101" s="1"/>
  <c r="D103"/>
  <c r="E103" s="1"/>
  <c r="D97"/>
  <c r="E97" s="1"/>
  <c r="C225"/>
  <c r="E225" s="1"/>
  <c r="C227"/>
  <c r="E227" s="1"/>
  <c r="F256"/>
  <c r="F258" s="1"/>
  <c r="E23" s="1"/>
  <c r="E124"/>
  <c r="E219"/>
  <c r="E180"/>
  <c r="C198" s="1"/>
  <c r="D151"/>
  <c r="C151"/>
  <c r="E35"/>
  <c r="E129"/>
  <c r="E117"/>
  <c r="E196"/>
  <c r="E130"/>
  <c r="D51"/>
  <c r="E51" s="1"/>
  <c r="E52" s="1"/>
  <c r="D53" s="1"/>
  <c r="C223"/>
  <c r="E223" s="1"/>
  <c r="C233"/>
  <c r="E233" s="1"/>
  <c r="F234" s="1"/>
  <c r="E21" s="1"/>
  <c r="E263"/>
  <c r="D264" s="1"/>
  <c r="E264" s="1"/>
  <c r="F267" s="1"/>
  <c r="F269" s="1"/>
  <c r="E24" s="1"/>
  <c r="E191"/>
  <c r="D241"/>
  <c r="E241" s="1"/>
  <c r="D242" s="1"/>
  <c r="E242" s="1"/>
  <c r="F243" s="1"/>
  <c r="E22" s="1"/>
  <c r="E118"/>
  <c r="E178"/>
  <c r="D164"/>
  <c r="C30" i="8" l="1"/>
  <c r="C33" i="5"/>
  <c r="C27" i="8" s="1"/>
  <c r="C35" s="1"/>
  <c r="D179" i="2"/>
  <c r="E179" s="1"/>
  <c r="E207"/>
  <c r="D210" s="1"/>
  <c r="E210" s="1"/>
  <c r="F211" s="1"/>
  <c r="E19" s="1"/>
  <c r="C193"/>
  <c r="C194" s="1"/>
  <c r="D195" s="1"/>
  <c r="E195" s="1"/>
  <c r="C28" i="8"/>
  <c r="C19"/>
  <c r="C25" s="1"/>
  <c r="C34" s="1"/>
  <c r="D104" i="2"/>
  <c r="E104" s="1"/>
  <c r="D106" s="1"/>
  <c r="E106" s="1"/>
  <c r="F125"/>
  <c r="E12" s="1"/>
  <c r="F131"/>
  <c r="E13" s="1"/>
  <c r="E164"/>
  <c r="F165" s="1"/>
  <c r="E151"/>
  <c r="F152" s="1"/>
  <c r="D183"/>
  <c r="E183" s="1"/>
  <c r="D184" s="1"/>
  <c r="E184" s="1"/>
  <c r="F119"/>
  <c r="E11" s="1"/>
  <c r="F229"/>
  <c r="E20" s="1"/>
  <c r="D87"/>
  <c r="C29" i="8" l="1"/>
  <c r="C32" s="1"/>
  <c r="C36"/>
  <c r="E185" i="2"/>
  <c r="D186" s="1"/>
  <c r="E186" s="1"/>
  <c r="F187" s="1"/>
  <c r="E17" s="1"/>
  <c r="C199"/>
  <c r="D200" s="1"/>
  <c r="E200" s="1"/>
  <c r="E201" s="1"/>
  <c r="D202" s="1"/>
  <c r="E202" s="1"/>
  <c r="F203" s="1"/>
  <c r="F167"/>
  <c r="E14" s="1"/>
  <c r="E107"/>
  <c r="D108" s="1"/>
  <c r="C37" i="8" l="1"/>
  <c r="E18" i="2"/>
  <c r="E16" s="1"/>
  <c r="F246"/>
  <c r="E15" s="1"/>
  <c r="C87" l="1"/>
  <c r="E87" s="1"/>
  <c r="E88" s="1"/>
  <c r="D89" s="1"/>
  <c r="E89" s="1"/>
  <c r="F90" s="1"/>
  <c r="E9" s="1"/>
  <c r="C72"/>
  <c r="E72" s="1"/>
  <c r="E73" s="1"/>
  <c r="D74" s="1"/>
  <c r="E74" s="1"/>
  <c r="F75" s="1"/>
  <c r="E8" s="1"/>
  <c r="C53"/>
  <c r="E53" s="1"/>
  <c r="E54" s="1"/>
  <c r="D55" s="1"/>
  <c r="E55" s="1"/>
  <c r="F56" s="1"/>
  <c r="E7" s="1"/>
  <c r="C108"/>
  <c r="E108" s="1"/>
  <c r="E109" s="1"/>
  <c r="D110" s="1"/>
  <c r="E110" s="1"/>
  <c r="F111" s="1"/>
  <c r="E10" s="1"/>
  <c r="F133" l="1"/>
  <c r="F271" s="1"/>
  <c r="E6" l="1"/>
  <c r="D276"/>
  <c r="E276" s="1"/>
  <c r="F277" s="1"/>
  <c r="F279" s="1"/>
  <c r="E25" s="1"/>
  <c r="E26" l="1"/>
  <c r="F6" s="1"/>
  <c r="F282"/>
  <c r="F287" s="1"/>
  <c r="F24" l="1"/>
  <c r="F8"/>
  <c r="F14"/>
  <c r="F7"/>
  <c r="F13"/>
  <c r="F10"/>
  <c r="F15"/>
  <c r="F22"/>
  <c r="F21"/>
  <c r="F9"/>
  <c r="F16"/>
  <c r="F17"/>
  <c r="F18"/>
  <c r="F12"/>
  <c r="F19"/>
  <c r="F11"/>
  <c r="F23"/>
  <c r="F20"/>
  <c r="F25"/>
  <c r="F26" l="1"/>
</calcChain>
</file>

<file path=xl/comments1.xml><?xml version="1.0" encoding="utf-8"?>
<comments xmlns="http://schemas.openxmlformats.org/spreadsheetml/2006/main">
  <authors>
    <author>Clauber Bridi</author>
  </authors>
  <commentList>
    <comment ref="A4" authorId="0">
      <text>
        <r>
          <rPr>
            <sz val="9"/>
            <color indexed="81"/>
            <rFont val="Tahoma"/>
            <family val="2"/>
          </rPr>
          <t>Qualquer custo previsto no edital e não contemplado nesta planilha modelo deverá ser devidamente incluído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>
      <text>
        <r>
          <rPr>
            <b/>
            <sz val="9"/>
            <color indexed="81"/>
            <rFont val="Tahoma"/>
            <family val="2"/>
          </rPr>
          <t>Informar o fator de utilização das equipes de coleta. 
Por exemplo:
Equipes com utilização integral = 100%
Equipes com utilização parcial = n° horas trabalhadas por semana /44 horas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7" authorId="0">
      <text>
        <r>
          <rPr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C48" authorId="0">
      <text>
        <r>
          <rPr>
            <sz val="9"/>
            <color indexed="81"/>
            <rFont val="Tahoma"/>
            <family val="2"/>
          </rPr>
          <t>Informar o número de horas extras trabalhadas nos domingos e feriados em horário diurno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9" author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diurno de segunda a sábado 
</t>
        </r>
      </text>
    </comment>
    <comment ref="A50" author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3" author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55" author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C61" authorId="0">
      <text>
        <r>
          <rPr>
            <sz val="9"/>
            <color indexed="81"/>
            <rFont val="Tahoma"/>
            <family val="2"/>
          </rPr>
          <t>Informar o número de horas noturnas trabalhadas no intervalo das 22:00h as 5:00h</t>
        </r>
      </text>
    </comment>
    <comment ref="C63" authorId="0">
      <text>
        <r>
          <rPr>
            <sz val="9"/>
            <color indexed="81"/>
            <rFont val="Tahoma"/>
            <family val="2"/>
          </rPr>
          <t>Informar o número de horas extras trabalhadas em horário diurno nos domingos e feriados</t>
        </r>
      </text>
    </comment>
    <comment ref="C64" author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noturno (das 22:00h as 5h) nos domingos e feriados
</t>
        </r>
      </text>
    </comment>
    <comment ref="C66" authorId="0">
      <text>
        <r>
          <rPr>
            <sz val="9"/>
            <color indexed="81"/>
            <rFont val="Tahoma"/>
            <family val="2"/>
          </rPr>
          <t>Informar o número de horas extras trabalhadas em horário noturno de segunda à sábado</t>
        </r>
      </text>
    </comment>
    <comment ref="C67" authorId="0">
      <text>
        <r>
          <rPr>
            <sz val="9"/>
            <color indexed="81"/>
            <rFont val="Tahoma"/>
            <family val="2"/>
          </rPr>
          <t>Informar o número de horas extras trabalhadas em horário noturno (das 22:00h as 5h) de segunda a sábado</t>
        </r>
      </text>
    </comment>
    <comment ref="A69" author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Considerados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2" author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74" author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79" authorId="0">
      <text>
        <r>
          <rPr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D80" authorId="0">
      <text>
        <r>
          <rPr>
            <sz val="9"/>
            <color indexed="81"/>
            <rFont val="Tahoma"/>
            <family val="2"/>
          </rPr>
          <t>Informar o valor do salário Mínimo Nacional</t>
        </r>
      </text>
    </comment>
    <comment ref="C81" authorId="0">
      <text>
        <r>
          <rPr>
            <sz val="9"/>
            <color indexed="81"/>
            <rFont val="Tahoma"/>
            <family val="2"/>
          </rPr>
          <t>Informar o número de horas extras trabalhadas em horário diurno nos domingos e feriados</t>
        </r>
      </text>
    </comment>
    <comment ref="C82" author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diurno de segunda a sábado 
</t>
        </r>
      </text>
    </comment>
    <comment ref="A83" author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4" authorId="0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85" authorId="0">
      <text>
        <r>
          <rPr>
            <sz val="9"/>
            <color indexed="81"/>
            <rFont val="Tahoma"/>
            <family val="2"/>
          </rPr>
          <t>Percentual estabelecido nas Normas de Segurança de Trabalho ou pelo laudo de responsável técnico devidamente habilitado</t>
        </r>
      </text>
    </comment>
    <comment ref="C87" author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89" author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C96" authorId="0">
      <text>
        <r>
          <rPr>
            <sz val="9"/>
            <color indexed="81"/>
            <rFont val="Tahoma"/>
            <family val="2"/>
          </rPr>
          <t>Informar o número de horas noturnas trabalhadas no intervalo das 22:00h as 5:00h</t>
        </r>
      </text>
    </comment>
    <comment ref="C98" authorId="0">
      <text>
        <r>
          <rPr>
            <sz val="9"/>
            <color indexed="81"/>
            <rFont val="Tahoma"/>
            <family val="2"/>
          </rPr>
          <t>Informar o número de horas extras trabalhadas em horário noturno nos domingos e feriados</t>
        </r>
      </text>
    </comment>
    <comment ref="C99" author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noturno (das 22:00h as 5h) nos domingos e feriados
</t>
        </r>
      </text>
    </comment>
    <comment ref="C101" authorId="0">
      <text>
        <r>
          <rPr>
            <sz val="9"/>
            <color indexed="81"/>
            <rFont val="Tahoma"/>
            <family val="2"/>
          </rPr>
          <t>Informar o número de horas extras trabalhadas em horário noturno de segunda à sábado</t>
        </r>
      </text>
    </comment>
    <comment ref="C102" authorId="0">
      <text>
        <r>
          <rPr>
            <sz val="9"/>
            <color indexed="81"/>
            <rFont val="Tahoma"/>
            <family val="2"/>
          </rPr>
          <t>Informar o número de horas extras trabalhadas em horário noturno (das 22:00h as 5h) de segunda a sábado</t>
        </r>
      </text>
    </comment>
    <comment ref="A104" author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Considerados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5" authorId="0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108" author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110" author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115" authorId="0">
      <text>
        <r>
          <rPr>
            <sz val="9"/>
            <color indexed="81"/>
            <rFont val="Tahoma"/>
            <family val="2"/>
          </rPr>
          <t>Informar o valor unitário do VT no município</t>
        </r>
      </text>
    </comment>
    <comment ref="C116" authorId="0">
      <text>
        <r>
          <rPr>
            <sz val="9"/>
            <color indexed="81"/>
            <rFont val="Tahoma"/>
            <family val="2"/>
          </rPr>
          <t>Informar o número médio de dias trabalhados por mês</t>
        </r>
      </text>
    </comment>
    <comment ref="D117" authorId="0">
      <text>
        <r>
          <rPr>
            <sz val="9"/>
            <color indexed="81"/>
            <rFont val="Tahoma"/>
            <family val="2"/>
          </rPr>
          <t>Valor Unitário considerando o desconto legal de até 6% do salário</t>
        </r>
      </text>
    </comment>
    <comment ref="D118" authorId="0">
      <text>
        <r>
          <rPr>
            <sz val="9"/>
            <color indexed="81"/>
            <rFont val="Tahoma"/>
            <family val="2"/>
          </rPr>
          <t xml:space="preserve">Valor Unitário considerando o desconto legal de até 6% do salário
</t>
        </r>
      </text>
    </comment>
    <comment ref="D123" authorId="0">
      <text>
        <r>
          <rPr>
            <sz val="9"/>
            <color indexed="81"/>
            <rFont val="Tahoma"/>
            <family val="2"/>
          </rPr>
          <t>Informar o valor unitário diário do vale refeição, considerando o desconto aplicável ao funcionário, conforme Convenção Coletiva da categoria.</t>
        </r>
      </text>
    </comment>
    <comment ref="D124" authorId="0">
      <text>
        <r>
          <rPr>
            <sz val="9"/>
            <color indexed="81"/>
            <rFont val="Tahoma"/>
            <family val="2"/>
          </rPr>
          <t>Informar o valor unitário diário do vale refeição, considerando o desconto aplicável ao funcionário, conforme Convenção Coletiva da categoria.</t>
        </r>
      </text>
    </comment>
    <comment ref="D129" authorId="0">
      <text>
        <r>
          <rPr>
            <sz val="9"/>
            <color indexed="81"/>
            <rFont val="Tahoma"/>
            <family val="2"/>
          </rPr>
          <t>Informar o valor mensal do auxilio alimentação, considerando o desconto aplicável ao funcionário, conforme Convenção Coletiva da categoria</t>
        </r>
      </text>
    </comment>
    <comment ref="D130" authorId="0">
      <text>
        <r>
          <rPr>
            <sz val="9"/>
            <color indexed="81"/>
            <rFont val="Tahoma"/>
            <family val="2"/>
          </rPr>
          <t>Informar o valor mensal do auxilio alimentação, considerando o desconto aplicável ao funcionário, conforme Convenção Coletiva da categoria</t>
        </r>
      </text>
    </comment>
    <comment ref="C140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40" author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41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41" author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42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42" author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43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43" author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44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44" author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45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45" author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46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46" author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47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47" author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48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48" author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49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49" author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D150" authorId="0">
      <text>
        <r>
          <rPr>
            <sz val="9"/>
            <color indexed="81"/>
            <rFont val="Tahoma"/>
            <family val="2"/>
          </rPr>
          <t>Informar o valor mensal de higienização de uniforme para 1 funcionário</t>
        </r>
      </text>
    </comment>
    <comment ref="C157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58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59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60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61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62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63" authorId="0">
      <text>
        <r>
          <rPr>
            <sz val="9"/>
            <color indexed="81"/>
            <rFont val="Tahoma"/>
            <family val="2"/>
          </rPr>
          <t>Informar o valor mensal de higienização de uniforme para 1 funcionário</t>
        </r>
      </text>
    </comment>
    <comment ref="D175" authorId="0">
      <text>
        <r>
          <rPr>
            <sz val="9"/>
            <color indexed="81"/>
            <rFont val="Tahoma"/>
            <family val="2"/>
          </rPr>
          <t>Informar o preço unitário do chassis do caminhão de coleta</t>
        </r>
      </text>
    </comment>
    <comment ref="C176" authorId="0">
      <text>
        <r>
          <rPr>
            <sz val="9"/>
            <color indexed="81"/>
            <rFont val="Tahoma"/>
            <family val="2"/>
          </rPr>
          <t>Informar a vida útil estimada para o caminhão, em anos</t>
        </r>
      </text>
    </comment>
    <comment ref="C177" author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veículo proposto.</t>
        </r>
      </text>
    </comment>
    <comment ref="C178" authorId="0">
      <text>
        <r>
          <rPr>
            <b/>
            <sz val="9"/>
            <color indexed="81"/>
            <rFont val="Tahoma"/>
            <family val="2"/>
          </rPr>
          <t xml:space="preserve">Informar o valor da depreciação do caminhão,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0" authorId="0">
      <text>
        <r>
          <rPr>
            <sz val="9"/>
            <color indexed="81"/>
            <rFont val="Tahoma"/>
            <family val="2"/>
          </rPr>
          <t xml:space="preserve">Informar o preço unitário do equipamento compactador
</t>
        </r>
      </text>
    </comment>
    <comment ref="C181" authorId="0">
      <text>
        <r>
          <rPr>
            <sz val="9"/>
            <color indexed="81"/>
            <rFont val="Tahoma"/>
            <family val="2"/>
          </rPr>
          <t>Informar a vida útil estimada para o compactador, em anos</t>
        </r>
      </text>
    </comment>
    <comment ref="C182" author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compactador proposto.</t>
        </r>
      </text>
    </comment>
    <comment ref="C183" authorId="0">
      <text>
        <r>
          <rPr>
            <b/>
            <sz val="9"/>
            <color indexed="81"/>
            <rFont val="Tahoma"/>
            <family val="2"/>
          </rPr>
          <t xml:space="preserve">Informar o valor da depreciação do compactador,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6" authorId="0">
      <text>
        <r>
          <rPr>
            <sz val="9"/>
            <color indexed="81"/>
            <rFont val="Tahoma"/>
            <family val="2"/>
          </rPr>
          <t>Informar a quantidade de caminhões compactadores do respectivo modelo</t>
        </r>
      </text>
    </comment>
    <comment ref="C192" authorId="0">
      <text>
        <r>
          <rPr>
            <b/>
            <sz val="9"/>
            <color indexed="81"/>
            <rFont val="Tahoma"/>
            <family val="2"/>
          </rPr>
          <t>Informar a taxa de juros anual para remuneração do capital. Recomenda-se o uso da Taxa SELIC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8" authorId="0">
      <text>
        <r>
          <rPr>
            <sz val="9"/>
            <color indexed="81"/>
            <rFont val="Tahoma"/>
            <family val="2"/>
          </rPr>
          <t xml:space="preserve">Informar o valor do seguro obrigatório e licenciamento anual de um caminhão
</t>
        </r>
      </text>
    </comment>
    <comment ref="D209" authorId="0">
      <text>
        <r>
          <rPr>
            <sz val="9"/>
            <color indexed="81"/>
            <rFont val="Tahoma"/>
            <family val="2"/>
          </rPr>
          <t xml:space="preserve">Informar o valor do seguro contra terceiros de um caminhão, se houver previsão no Projeto Básico
</t>
        </r>
      </text>
    </comment>
    <comment ref="B215" authorId="0">
      <text>
        <r>
          <rPr>
            <sz val="9"/>
            <color indexed="81"/>
            <rFont val="Tahoma"/>
            <family val="2"/>
          </rPr>
          <t xml:space="preserve">Informar a quilometragem mensal percorrida, de acordo com o projeto básico
</t>
        </r>
      </text>
    </comment>
    <comment ref="C218" authorId="0">
      <text>
        <r>
          <rPr>
            <sz val="9"/>
            <color indexed="81"/>
            <rFont val="Tahoma"/>
            <family val="2"/>
          </rPr>
          <t>Informar o consumo estimado do veículo em km/l</t>
        </r>
      </text>
    </comment>
    <comment ref="D218" authorId="0">
      <text>
        <r>
          <rPr>
            <sz val="9"/>
            <color indexed="81"/>
            <rFont val="Tahoma"/>
            <family val="2"/>
          </rPr>
          <t xml:space="preserve">Informar o preço unitário do combustivel
</t>
        </r>
      </text>
    </comment>
    <comment ref="C220" authorId="0">
      <text>
        <r>
          <rPr>
            <sz val="9"/>
            <color indexed="81"/>
            <rFont val="Tahoma"/>
            <family val="2"/>
          </rPr>
          <t>Informar o consumo de óleo do motor a cada 1000km</t>
        </r>
      </text>
    </comment>
    <comment ref="D220" authorId="0">
      <text>
        <r>
          <rPr>
            <sz val="9"/>
            <color indexed="81"/>
            <rFont val="Tahoma"/>
            <family val="2"/>
          </rPr>
          <t xml:space="preserve">Informar o preço unitário do litro do óleo do motor
</t>
        </r>
      </text>
    </comment>
    <comment ref="C222" authorId="0">
      <text>
        <r>
          <rPr>
            <sz val="9"/>
            <color indexed="81"/>
            <rFont val="Tahoma"/>
            <family val="2"/>
          </rPr>
          <t>Informar o consumo de óleo da transmissão a cada 1000km</t>
        </r>
      </text>
    </comment>
    <comment ref="D222" authorId="0">
      <text>
        <r>
          <rPr>
            <sz val="9"/>
            <color indexed="81"/>
            <rFont val="Tahoma"/>
            <family val="2"/>
          </rPr>
          <t xml:space="preserve">Informar o preço unitário do litro do óleo da transmissão
</t>
        </r>
      </text>
    </comment>
    <comment ref="C224" authorId="0">
      <text>
        <r>
          <rPr>
            <sz val="9"/>
            <color indexed="81"/>
            <rFont val="Tahoma"/>
            <family val="2"/>
          </rPr>
          <t>Informar o consumo de óleo hidráulico a cada 1000km</t>
        </r>
      </text>
    </comment>
    <comment ref="D224" authorId="0">
      <text>
        <r>
          <rPr>
            <sz val="9"/>
            <color indexed="81"/>
            <rFont val="Tahoma"/>
            <family val="2"/>
          </rPr>
          <t xml:space="preserve">Informar o preço unitário do litro do óleo hidráulico
</t>
        </r>
      </text>
    </comment>
    <comment ref="C226" authorId="0">
      <text>
        <r>
          <rPr>
            <sz val="9"/>
            <color indexed="81"/>
            <rFont val="Tahoma"/>
            <family val="2"/>
          </rPr>
          <t>Informar o consumo de graxa a cada 1000km</t>
        </r>
      </text>
    </comment>
    <comment ref="D226" authorId="0">
      <text>
        <r>
          <rPr>
            <sz val="9"/>
            <color indexed="81"/>
            <rFont val="Tahoma"/>
            <family val="2"/>
          </rPr>
          <t xml:space="preserve">Informar o preço unitário do litro da graxa
</t>
        </r>
      </text>
    </comment>
    <comment ref="D233" authorId="0">
      <text>
        <r>
          <rPr>
            <sz val="9"/>
            <color indexed="81"/>
            <rFont val="Tahoma"/>
            <family val="2"/>
          </rPr>
          <t xml:space="preserve">Informar o custo de manutenção em R$/km rodado
</t>
        </r>
      </text>
    </comment>
    <comment ref="C238" authorId="0">
      <text>
        <r>
          <rPr>
            <sz val="9"/>
            <color indexed="81"/>
            <rFont val="Tahoma"/>
            <family val="2"/>
          </rPr>
          <t>Informar a quantidade de pneus novos de 1 caminhão</t>
        </r>
      </text>
    </comment>
    <comment ref="D238" authorId="0">
      <text>
        <r>
          <rPr>
            <sz val="9"/>
            <color indexed="81"/>
            <rFont val="Tahoma"/>
            <family val="2"/>
          </rPr>
          <t xml:space="preserve">Informar o preço unitário de cada pneu
</t>
        </r>
      </text>
    </comment>
    <comment ref="C239" authorId="0">
      <text>
        <r>
          <rPr>
            <sz val="9"/>
            <color indexed="81"/>
            <rFont val="Tahoma"/>
            <family val="2"/>
          </rPr>
          <t>Informar o número de recapagens por pneu</t>
        </r>
      </text>
    </comment>
    <comment ref="D240" authorId="0">
      <text>
        <r>
          <rPr>
            <sz val="9"/>
            <color indexed="81"/>
            <rFont val="Tahoma"/>
            <family val="2"/>
          </rPr>
          <t xml:space="preserve">Informar o preço unitário de cada recapagem
</t>
        </r>
      </text>
    </comment>
    <comment ref="C241" authorId="0">
      <text>
        <r>
          <rPr>
            <sz val="9"/>
            <color indexed="81"/>
            <rFont val="Tahoma"/>
            <family val="2"/>
          </rPr>
          <t xml:space="preserve">Informar a durabilidade média dos pneus considerando todas as recapagens, em km
</t>
        </r>
      </text>
    </comment>
    <comment ref="C251" author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51" author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52" author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52" author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53" author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53" author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54" author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54" author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55" author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55" author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A260" authorId="0">
      <text>
        <r>
          <rPr>
            <b/>
            <sz val="9"/>
            <color indexed="81"/>
            <rFont val="Tahoma"/>
            <family val="2"/>
          </rPr>
          <t>Especificar somente quando for exigido no Projeto Básico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63" authorId="0">
      <text>
        <r>
          <rPr>
            <sz val="9"/>
            <color indexed="81"/>
            <rFont val="Tahoma"/>
            <family val="2"/>
          </rPr>
          <t>Informar o valor total para instalação do equipamento de monitoramento da frota, se houver previsão no Projeto Básico</t>
        </r>
      </text>
    </comment>
    <comment ref="D265" authorId="0">
      <text>
        <r>
          <rPr>
            <sz val="9"/>
            <color indexed="81"/>
            <rFont val="Tahoma"/>
            <family val="2"/>
          </rPr>
          <t>Informar o valor unitário mensal para manutenção dos equipamentos de monitoramento</t>
        </r>
      </text>
    </comment>
    <comment ref="C276" authorId="0">
      <text>
        <r>
          <rPr>
            <sz val="9"/>
            <color indexed="81"/>
            <rFont val="Tahoma"/>
            <family val="2"/>
          </rPr>
          <t>Preencher a aba 4.BDI</t>
        </r>
      </text>
    </comment>
    <comment ref="D285" authorId="0">
      <text>
        <r>
          <rPr>
            <sz val="9"/>
            <color indexed="81"/>
            <rFont val="Tahoma"/>
            <family val="2"/>
          </rPr>
          <t xml:space="preserve">Informar a quantidade média coletada nos últimos 12 meses
</t>
        </r>
      </text>
    </comment>
  </commentList>
</comments>
</file>

<file path=xl/comments2.xml><?xml version="1.0" encoding="utf-8"?>
<comments xmlns="http://schemas.openxmlformats.org/spreadsheetml/2006/main">
  <authors>
    <author>Clauber Bridi</author>
  </authors>
  <commentList>
    <comment ref="C12" authorId="0">
      <text>
        <r>
          <rPr>
            <b/>
            <sz val="9"/>
            <color indexed="81"/>
            <rFont val="Tahoma"/>
            <family val="2"/>
          </rPr>
          <t>Informar o % de Administração Central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" authorId="0">
      <text>
        <r>
          <rPr>
            <b/>
            <sz val="9"/>
            <color indexed="81"/>
            <rFont val="Tahoma"/>
            <family val="2"/>
          </rPr>
          <t>Informar o % de Seguros, Riscos e Garantia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>
      <text>
        <r>
          <rPr>
            <b/>
            <sz val="9"/>
            <color indexed="81"/>
            <rFont val="Tahoma"/>
            <family val="2"/>
          </rPr>
          <t>Informar o % de Lucro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>Informar o valor anual da taxa financeira, em percentual. Admite-se utilizar a SELIC</t>
        </r>
      </text>
    </comment>
    <comment ref="C16" authorId="0">
      <text>
        <r>
          <rPr>
            <b/>
            <sz val="9"/>
            <color indexed="81"/>
            <rFont val="Tahoma"/>
            <family val="2"/>
          </rPr>
          <t>Informar o percentual de ISS, de acordo com a legislação tributária do município onde serão prestados os serviços. De 2% até o limite de 5%.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>Informar a média de dias úteis entre data de pagamento prevista no contrato e a data final do período de adimplemento da parcela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 xml:space="preserve">Informar o valor estimado de PIS/COFINS. </t>
        </r>
        <r>
          <rPr>
            <sz val="9"/>
            <color indexed="81"/>
            <rFont val="Tahoma"/>
            <family val="2"/>
          </rPr>
          <t xml:space="preserve">
1. Adotar 0,65% PIS + 3% COFINS quando o valor anual estimado do contrato for inferior ao limite para tributação pelo regime de incidência não-cumulativa (lucro presumido);
2. Adotar 1,65% PIS + 7,6% COFINS quando o valor anual estimado do contrato for superior ao limite para tributação pelo regime de incidência não-cumulativa (lucro real);</t>
        </r>
      </text>
    </comment>
  </commentList>
</comments>
</file>

<file path=xl/comments3.xml><?xml version="1.0" encoding="utf-8"?>
<comments xmlns="http://schemas.openxmlformats.org/spreadsheetml/2006/main">
  <authors>
    <author>cbridi</author>
    <author>Clauber Bridi</author>
    <author>Omar</author>
  </authors>
  <commentList>
    <comment ref="C12" authorId="0">
      <text>
        <r>
          <rPr>
            <sz val="8"/>
            <color indexed="81"/>
            <rFont val="Tahoma"/>
            <family val="2"/>
          </rPr>
          <t>Informar a população do município a ser atendida</t>
        </r>
      </text>
    </comment>
    <comment ref="C13" authorId="1">
      <text>
        <r>
          <rPr>
            <b/>
            <sz val="9"/>
            <color indexed="81"/>
            <rFont val="Tahoma"/>
            <family val="2"/>
          </rPr>
          <t>Caso o município possua informações de pesagem, ajustar com o valor da geração média per capita realizada nos últimos 12 meses</t>
        </r>
      </text>
    </comment>
    <comment ref="C14" authorId="2">
      <text>
        <r>
          <rPr>
            <sz val="9"/>
            <color indexed="81"/>
            <rFont val="Tahoma"/>
            <family val="2"/>
          </rPr>
          <t>retorna a geração diária a ser recolhida</t>
        </r>
      </text>
    </comment>
    <comment ref="C16" authorId="0">
      <text>
        <r>
          <rPr>
            <b/>
            <sz val="8"/>
            <color indexed="81"/>
            <rFont val="Tahoma"/>
            <charset val="1"/>
          </rPr>
          <t>Informe o número de dias de coleta por semana</t>
        </r>
      </text>
    </comment>
    <comment ref="C19" authorId="0">
      <text>
        <r>
          <rPr>
            <sz val="8"/>
            <color indexed="81"/>
            <rFont val="Tahoma"/>
            <family val="2"/>
          </rPr>
          <t>Informar 1 para caminhão toco; Informar 2 para caminhão truck</t>
        </r>
        <r>
          <rPr>
            <b/>
            <sz val="8"/>
            <color indexed="81"/>
            <rFont val="Tahoma"/>
            <family val="2"/>
          </rPr>
          <t xml:space="preserve"> </t>
        </r>
      </text>
    </comment>
    <comment ref="C20" authorId="0">
      <text>
        <r>
          <rPr>
            <sz val="8"/>
            <color indexed="81"/>
            <rFont val="Tahoma"/>
            <family val="2"/>
          </rPr>
          <t>Informar a capacidade do compactador em m³</t>
        </r>
      </text>
    </comment>
    <comment ref="C23" authorId="1">
      <text>
        <r>
          <rPr>
            <sz val="8"/>
            <color indexed="81"/>
            <rFont val="Tahoma"/>
            <family val="2"/>
          </rPr>
          <t xml:space="preserve">Informar o número de percursos de coleta (cargas) que cada caminhão realiza por dia, considerando todos os turnos de trabalho. </t>
        </r>
      </text>
    </comment>
  </commentList>
</comments>
</file>

<file path=xl/sharedStrings.xml><?xml version="1.0" encoding="utf-8"?>
<sst xmlns="http://schemas.openxmlformats.org/spreadsheetml/2006/main" count="596" uniqueCount="315">
  <si>
    <t>hora</t>
  </si>
  <si>
    <t>Adicional de Insalubridade</t>
  </si>
  <si>
    <t>%</t>
  </si>
  <si>
    <t>Soma</t>
  </si>
  <si>
    <t>Encargos Sociais</t>
  </si>
  <si>
    <t>Total do Efetivo</t>
  </si>
  <si>
    <t>homem</t>
  </si>
  <si>
    <t>Adicional Noturno</t>
  </si>
  <si>
    <t>mês</t>
  </si>
  <si>
    <t>vale</t>
  </si>
  <si>
    <t>unidade</t>
  </si>
  <si>
    <t>Colete reflexivo</t>
  </si>
  <si>
    <t>IPVA</t>
  </si>
  <si>
    <t>Seguro contra terceiros</t>
  </si>
  <si>
    <t>Impostos e seguros mensais</t>
  </si>
  <si>
    <t>Custo de óleo diesel / km rodado</t>
  </si>
  <si>
    <t>km/l</t>
  </si>
  <si>
    <t>Custo mensal com óleo diesel</t>
  </si>
  <si>
    <t>km</t>
  </si>
  <si>
    <t>l/1.000 km</t>
  </si>
  <si>
    <t>Custo mensal com óleo do motor</t>
  </si>
  <si>
    <t>Custo mensal com óleo da transmissão</t>
  </si>
  <si>
    <t>Custo mensal com óleo hidráulico</t>
  </si>
  <si>
    <t>Custo de graxa /1.000 km rodados</t>
  </si>
  <si>
    <t>kg/1.000 km</t>
  </si>
  <si>
    <t>Custo mensal com graxa</t>
  </si>
  <si>
    <t>km/jogo</t>
  </si>
  <si>
    <t>toneladas</t>
  </si>
  <si>
    <t>Pá de Concha</t>
  </si>
  <si>
    <t>Vassoura</t>
  </si>
  <si>
    <t>Calça</t>
  </si>
  <si>
    <t>Camiseta</t>
  </si>
  <si>
    <t>Boné</t>
  </si>
  <si>
    <t>Luva de proteção</t>
  </si>
  <si>
    <t>R$/tonelada</t>
  </si>
  <si>
    <t>R$</t>
  </si>
  <si>
    <t>Horas Extras (100%)</t>
  </si>
  <si>
    <t>Horas Extras (50%)</t>
  </si>
  <si>
    <t>Benefícios e despesas indiretas</t>
  </si>
  <si>
    <t>Custo mensal com manutenção</t>
  </si>
  <si>
    <t>Custo (R$/mês)</t>
  </si>
  <si>
    <t>Mão-de-obra</t>
  </si>
  <si>
    <t>Quantidade</t>
  </si>
  <si>
    <t>INSS</t>
  </si>
  <si>
    <t>FGTS</t>
  </si>
  <si>
    <t>Planilha de Composição de Custos</t>
  </si>
  <si>
    <t>Motorista</t>
  </si>
  <si>
    <t>2. Uniformes e Equipamentos de Proteção Individual</t>
  </si>
  <si>
    <t>3.1.1. Depreciação</t>
  </si>
  <si>
    <t>1. Mão-de-obra</t>
  </si>
  <si>
    <t>par</t>
  </si>
  <si>
    <t>frasco 120g</t>
  </si>
  <si>
    <t>Depreciação mensal veículos coletores</t>
  </si>
  <si>
    <t>3.1.3. Impostos e Seguros</t>
  </si>
  <si>
    <t>3.1.4. Consumos</t>
  </si>
  <si>
    <t>3.1.5. Manutenção</t>
  </si>
  <si>
    <t>3. Veículos e Equipamentos</t>
  </si>
  <si>
    <t>Custo mensal com pneus</t>
  </si>
  <si>
    <t>Veículos e Equipamentos</t>
  </si>
  <si>
    <t>Publicidade (adesivos equipamentos)</t>
  </si>
  <si>
    <t>cj</t>
  </si>
  <si>
    <t>Total de mão-de-obra (postos de trabalho)</t>
  </si>
  <si>
    <t>Publicidade (adesivos veículos)</t>
  </si>
  <si>
    <t>Custo mensal com implantação</t>
  </si>
  <si>
    <t>3.1.6. Pneus</t>
  </si>
  <si>
    <t>Protetor solar FPS 30</t>
  </si>
  <si>
    <t>Discriminação</t>
  </si>
  <si>
    <t>Unidade</t>
  </si>
  <si>
    <t>Subtotal</t>
  </si>
  <si>
    <r>
      <t xml:space="preserve">Total </t>
    </r>
    <r>
      <rPr>
        <b/>
        <u/>
        <sz val="9"/>
        <rFont val="Arial"/>
        <family val="2"/>
      </rPr>
      <t>(R$)</t>
    </r>
  </si>
  <si>
    <t>Jaqueta com reflexivo (NBR 15.292)</t>
  </si>
  <si>
    <t>Capa de chuva amarela com reflexivo</t>
  </si>
  <si>
    <t>Botina de segurança c/ palmilha aço</t>
  </si>
  <si>
    <t>PREÇO POR TONELADA COLETADA:  [A/B]</t>
  </si>
  <si>
    <t>Custo de recapagem</t>
  </si>
  <si>
    <t>Recipiente térmico para água (5L)</t>
  </si>
  <si>
    <t>Total por Coletor</t>
  </si>
  <si>
    <t>Coletor</t>
  </si>
  <si>
    <t>4. Ferramentas e Materiais de Consumo</t>
  </si>
  <si>
    <t>5. Monitoramento da Frota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</si>
  <si>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</si>
  <si>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</si>
  <si>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</si>
  <si>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</si>
  <si>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</si>
  <si>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</si>
  <si>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</si>
  <si>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</si>
  <si>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Tributos - ISS</t>
  </si>
  <si>
    <t>T</t>
  </si>
  <si>
    <t>Tributos - PIS/COFINS</t>
  </si>
  <si>
    <t>Fórmula para o cálculo do BDI:</t>
  </si>
  <si>
    <t>{[(1+AC+SRG) x (1+L) x (1+DF)] / (1-T)} -1</t>
  </si>
  <si>
    <t>Resultado do cálculo do BDI:</t>
  </si>
  <si>
    <t>1.2. Coletor Turno Noite</t>
  </si>
  <si>
    <t>Vale Transporte</t>
  </si>
  <si>
    <t>Dias Trabalhados por mês</t>
  </si>
  <si>
    <t>dia</t>
  </si>
  <si>
    <t>Custo Mensal com Mão-de-obra (R$/mês)</t>
  </si>
  <si>
    <t>Meia de algodão com cano alto</t>
  </si>
  <si>
    <r>
      <t xml:space="preserve">Custo jg. compl. + </t>
    </r>
    <r>
      <rPr>
        <sz val="10"/>
        <color indexed="10"/>
        <rFont val="Arial"/>
        <family val="2"/>
      </rPr>
      <t>X</t>
    </r>
    <r>
      <rPr>
        <sz val="10"/>
        <rFont val="Arial"/>
        <family val="2"/>
      </rPr>
      <t xml:space="preserve"> recap./ km rodado</t>
    </r>
  </si>
  <si>
    <t>Quantitativos</t>
  </si>
  <si>
    <t>horas trabalhadas</t>
  </si>
  <si>
    <t>Horas Extras Noturnas (100%)</t>
  </si>
  <si>
    <t>1.1. Coletor Turno Dia</t>
  </si>
  <si>
    <t>1.4. Motorista Turno Noite</t>
  </si>
  <si>
    <t>hora contabilizada</t>
  </si>
  <si>
    <t>1.5. Vale Transporte</t>
  </si>
  <si>
    <t>Vida útil do chassis</t>
  </si>
  <si>
    <t>anos</t>
  </si>
  <si>
    <t>Vida útil do compactador</t>
  </si>
  <si>
    <t>Depreciação do compactador</t>
  </si>
  <si>
    <t>Depreciação do chassis</t>
  </si>
  <si>
    <t>Custo de aquisição do compactador</t>
  </si>
  <si>
    <t>Custo de aquisição do chassis</t>
  </si>
  <si>
    <t>Depreciação mensal do compactador</t>
  </si>
  <si>
    <t>i = taxa de juros do mercado (sugere-se adotar a taxa SELIC)</t>
  </si>
  <si>
    <t>n = vida útil do bem em anos</t>
  </si>
  <si>
    <t>Custo do chassis</t>
  </si>
  <si>
    <t>Custo do compactador</t>
  </si>
  <si>
    <t>3.1.2. Remuneração do Capital</t>
  </si>
  <si>
    <t>Im = investimento médio</t>
  </si>
  <si>
    <t>Remuneração mensal de capital do compactador</t>
  </si>
  <si>
    <t>Investimento médio total do chassis</t>
  </si>
  <si>
    <t>Remuneração mensal de capital do chassis</t>
  </si>
  <si>
    <t>Investimento médio total do compactador</t>
  </si>
  <si>
    <t>Custo de manutenção dos caminhões</t>
  </si>
  <si>
    <t>Quilometragem mensal</t>
  </si>
  <si>
    <t>R$/km rodado</t>
  </si>
  <si>
    <t>Número de recapagens por pneu</t>
  </si>
  <si>
    <t>R$ mensal</t>
  </si>
  <si>
    <t>Admissões</t>
  </si>
  <si>
    <t>Desligamentos</t>
  </si>
  <si>
    <t>Dispensados com justa causa</t>
  </si>
  <si>
    <t>Dispensados sem justa causa</t>
  </si>
  <si>
    <t>Espontâneos</t>
  </si>
  <si>
    <t>Fim de contrato por prazo determinado</t>
  </si>
  <si>
    <t>Término de contrato</t>
  </si>
  <si>
    <t>Aposentados</t>
  </si>
  <si>
    <t>Mortos</t>
  </si>
  <si>
    <t>Transferência de saída</t>
  </si>
  <si>
    <t xml:space="preserve"> </t>
  </si>
  <si>
    <t>Indicadores</t>
  </si>
  <si>
    <t>Dias ano</t>
  </si>
  <si>
    <t>Estoque Médio</t>
  </si>
  <si>
    <t>Multa FGTS</t>
  </si>
  <si>
    <t>Dias de Aviso prévio</t>
  </si>
  <si>
    <t>Código</t>
  </si>
  <si>
    <t>Descrição</t>
  </si>
  <si>
    <t>Valor</t>
  </si>
  <si>
    <t>A1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</si>
  <si>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</si>
  <si>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</si>
  <si>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</si>
  <si>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</si>
  <si>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</si>
  <si>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</si>
  <si>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</si>
  <si>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</si>
  <si>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</si>
  <si>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</si>
  <si>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</si>
  <si>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</si>
  <si>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</si>
  <si>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A</t>
  </si>
  <si>
    <t>SOMA GRUPO A</t>
  </si>
  <si>
    <t>B1</t>
  </si>
  <si>
    <t>Férias gozadas</t>
  </si>
  <si>
    <t>B2</t>
  </si>
  <si>
    <t>13º salário</t>
  </si>
  <si>
    <t>B4</t>
  </si>
  <si>
    <t>Licença Paternidade</t>
  </si>
  <si>
    <t>B5</t>
  </si>
  <si>
    <t>Faltas justificadas</t>
  </si>
  <si>
    <t>B6</t>
  </si>
  <si>
    <t>Auxilio acidente de trabalho</t>
  </si>
  <si>
    <t>Auxilio doença</t>
  </si>
  <si>
    <t>B</t>
  </si>
  <si>
    <t>SOMA GRUPO B</t>
  </si>
  <si>
    <t>C1</t>
  </si>
  <si>
    <t>Aviso prévio indenizado</t>
  </si>
  <si>
    <t>C3</t>
  </si>
  <si>
    <t xml:space="preserve">Férias indenizadas </t>
  </si>
  <si>
    <t>C4</t>
  </si>
  <si>
    <t>Férias indenizadas s/ aviso previo inden.</t>
  </si>
  <si>
    <t>C5</t>
  </si>
  <si>
    <t>Depósito rescisão sem justa causa</t>
  </si>
  <si>
    <t>Indenização adicional</t>
  </si>
  <si>
    <t>C</t>
  </si>
  <si>
    <t>SOMA GRUPO C</t>
  </si>
  <si>
    <t>D1</t>
  </si>
  <si>
    <t>Reincidência de Grupo A sobre Grupo B</t>
  </si>
  <si>
    <t>D2</t>
  </si>
  <si>
    <t>D</t>
  </si>
  <si>
    <t>SOMA GRUPO D</t>
  </si>
  <si>
    <t>SOMA (A+B+C+D)</t>
  </si>
  <si>
    <t>1° Quartil</t>
  </si>
  <si>
    <t>Médio</t>
  </si>
  <si>
    <t>3° Quartil</t>
  </si>
  <si>
    <t>DU</t>
  </si>
  <si>
    <t>Licenciamento e Seguro obrigatório</t>
  </si>
  <si>
    <t>Fator de utilização</t>
  </si>
  <si>
    <t>Fator de utilização (FU)</t>
  </si>
  <si>
    <t>2.1. Uniformes e EPIs para Coletor</t>
  </si>
  <si>
    <t>Higienização de uniformes e EPIs</t>
  </si>
  <si>
    <t>2.2. Uniformes e EPIs para demais categorias</t>
  </si>
  <si>
    <t>Custo Mensal com Uniformes e EPIs (R$/mês)</t>
  </si>
  <si>
    <t>Descrição do Item</t>
  </si>
  <si>
    <t>Orçamento Sintético</t>
  </si>
  <si>
    <t>Orientações para preenchimento:</t>
  </si>
  <si>
    <t>2. Preencher somente células em amarelo</t>
  </si>
  <si>
    <t>Excluir esta linha caso a contratação seja por preço global mensal</t>
  </si>
  <si>
    <t>Rio Grande do Sul  - Coleta de Resíduos Não-Perigosos - CNAE 38114</t>
  </si>
  <si>
    <t>Idade do veículo (ano)</t>
  </si>
  <si>
    <t>Idade do veículo</t>
  </si>
  <si>
    <t>Idade do compactador</t>
  </si>
  <si>
    <t>Valor do veículo proposto (V0)</t>
  </si>
  <si>
    <t>Valor do compactador proposto (V0)</t>
  </si>
  <si>
    <t>Taxa de juros anual nominal</t>
  </si>
  <si>
    <t>Piso da categoria</t>
  </si>
  <si>
    <t>Base de cálculo da Insalubridade</t>
  </si>
  <si>
    <t>Horas Extras Noturnas (50%)</t>
  </si>
  <si>
    <t>Excluir esta linha caso a contratação não tenha previsão de horas extras explícita no edital</t>
  </si>
  <si>
    <t>Descanso Semanal Remunerado (DSR) - hora extra</t>
  </si>
  <si>
    <t>C2</t>
  </si>
  <si>
    <t>B3</t>
  </si>
  <si>
    <t xml:space="preserve">1. Coleta de Resíduos Sólidos </t>
  </si>
  <si>
    <t xml:space="preserve">Quantidade média de resíduos coletados por mês: </t>
  </si>
  <si>
    <t>Custo Mensal com Monitoramento da Frota (R$/mês)</t>
  </si>
  <si>
    <t>Implantação dos equipamentos de monitoramento</t>
  </si>
  <si>
    <t>Manutenção dos equipamentos de monitoramento</t>
  </si>
  <si>
    <t>Custo Mensal com Veículos e Equipamentos (R$/mês)</t>
  </si>
  <si>
    <t>Custo Mensal com Ferramentas e Materiais de Consumo (R$/mês)</t>
  </si>
  <si>
    <t>CUSTO TOTAL MENSAL COM DESPESAS OPERACIONAIS (R$/mês)</t>
  </si>
  <si>
    <t>PREÇO MENSAL TOTAL (R$/mês)</t>
  </si>
  <si>
    <t>3. CAGED</t>
  </si>
  <si>
    <t>4. Composição do BDI - Benefícios e Despesas Indiretas</t>
  </si>
  <si>
    <t xml:space="preserve">2. Composição dos Encargos Sociais </t>
  </si>
  <si>
    <t>5. Depreciação Referencial TCE/RS (%)</t>
  </si>
  <si>
    <r>
      <t>J</t>
    </r>
    <r>
      <rPr>
        <vertAlign val="subscript"/>
        <sz val="12"/>
        <color indexed="8"/>
        <rFont val="Arial"/>
        <family val="2"/>
      </rPr>
      <t>m</t>
    </r>
    <r>
      <rPr>
        <sz val="12"/>
        <color indexed="8"/>
        <rFont val="Arial"/>
        <family val="2"/>
      </rPr>
      <t xml:space="preserve"> = remuneração de capital mensal</t>
    </r>
  </si>
  <si>
    <r>
      <t>V</t>
    </r>
    <r>
      <rPr>
        <vertAlign val="subscript"/>
        <sz val="12"/>
        <color indexed="8"/>
        <rFont val="Arial"/>
        <family val="2"/>
      </rPr>
      <t>0</t>
    </r>
    <r>
      <rPr>
        <sz val="12"/>
        <color indexed="8"/>
        <rFont val="Arial"/>
        <family val="2"/>
      </rPr>
      <t xml:space="preserve"> = valor inicial do bem</t>
    </r>
  </si>
  <si>
    <r>
      <t>V</t>
    </r>
    <r>
      <rPr>
        <vertAlign val="subscript"/>
        <sz val="12"/>
        <color indexed="8"/>
        <rFont val="Arial"/>
        <family val="2"/>
      </rPr>
      <t>r</t>
    </r>
    <r>
      <rPr>
        <sz val="12"/>
        <color indexed="8"/>
        <rFont val="Arial"/>
        <family val="2"/>
      </rPr>
      <t xml:space="preserve"> = valor residual do bem</t>
    </r>
  </si>
  <si>
    <t>6. Remuneração de Capital</t>
  </si>
  <si>
    <t>Custo unitário</t>
  </si>
  <si>
    <t>Custo de óleo do motor /1.000 km rodados</t>
  </si>
  <si>
    <t>Custo de óleo da transmissão /1.000 km</t>
  </si>
  <si>
    <t>Custo de óleo hidráulico / 1.000 km</t>
  </si>
  <si>
    <t>PREÇO TOTAL MENSAL COM A COLETA</t>
  </si>
  <si>
    <t>CUSTO MENSAL COM BDI (R$/mês)</t>
  </si>
  <si>
    <t>CÁLCULO DAS VERBAS INDENIZATÓRIAS DOS EMPREGADOS NO SETOR DE COLETA DE RSU</t>
  </si>
  <si>
    <t>1/3 de férias (dias)</t>
  </si>
  <si>
    <t>Férias (dias)</t>
  </si>
  <si>
    <t>13º Salário (dias)</t>
  </si>
  <si>
    <t>Referência estudo TCE</t>
  </si>
  <si>
    <t>Rotatividade temporal (meses)</t>
  </si>
  <si>
    <t>1. Esta planilha é somente um modelo-base e deve ser ajustada conforme cada caso concreto.</t>
  </si>
  <si>
    <t>Fórmula de cálculo da remuneração de capital:</t>
  </si>
  <si>
    <t>Excluir esta linha caso a contratação não tenha previsão de horas extras 100% explícita no edital</t>
  </si>
  <si>
    <t>Excluir esta linha caso a contratação não tenha previsão de horas extras noturnas 100% explícita no edital</t>
  </si>
  <si>
    <t>Excluir esta linha caso a contratação não tenha previsão de horas extras 50% explícita no edital</t>
  </si>
  <si>
    <t>Excluir esta linha caso a contratação não tenha previsão de horas extras noturnas 50% explícita no edital</t>
  </si>
  <si>
    <t>Total por Motorista</t>
  </si>
  <si>
    <t>Durabilidade (meses)</t>
  </si>
  <si>
    <t>Custo com consumos/km rodado</t>
  </si>
  <si>
    <t>Consumo</t>
  </si>
  <si>
    <t>Total por veículo</t>
  </si>
  <si>
    <t>Total da frota</t>
  </si>
  <si>
    <t>1. Esta planilha é somente um modelo de cálculo expedito e deve ser ajustada conforme cada caso concreto.</t>
  </si>
  <si>
    <t>Unid</t>
  </si>
  <si>
    <t>hab</t>
  </si>
  <si>
    <t>ton</t>
  </si>
  <si>
    <t>Densidade RSU compactado</t>
  </si>
  <si>
    <t>Kg/m³</t>
  </si>
  <si>
    <t>m³</t>
  </si>
  <si>
    <t>Kg/hab.dia</t>
  </si>
  <si>
    <t>ton/dia</t>
  </si>
  <si>
    <t>População (H)</t>
  </si>
  <si>
    <t>Geração per capita (G)</t>
  </si>
  <si>
    <t>Geração total diária (Qd)</t>
  </si>
  <si>
    <t>Quantitativo diário de coleta (Qc)</t>
  </si>
  <si>
    <t>Número de dias de coleta por semana (Dc)</t>
  </si>
  <si>
    <t>Capacidade nominal de carga (Cc)</t>
  </si>
  <si>
    <t>Número de Cargas por dia (Nc)</t>
  </si>
  <si>
    <t>Número de veículos da Frota (F)</t>
  </si>
  <si>
    <t>Geração Mensal</t>
  </si>
  <si>
    <t>Tipo de Veículo (1 = toco, 2 = truck)</t>
  </si>
  <si>
    <t>Capacidade do Compactador</t>
  </si>
  <si>
    <t>7. Dimensionamento da frota</t>
  </si>
  <si>
    <t>Indicador</t>
  </si>
  <si>
    <t>Número total de percursos de coleta por veículo, por dia (Np)</t>
  </si>
  <si>
    <t>i</t>
  </si>
  <si>
    <t>3. Preencher somente células em amarelo</t>
  </si>
  <si>
    <t>Depreciação Média</t>
  </si>
  <si>
    <t>2. Dimensionar separadamente setores atendidos por veículos de capacidade de carga diferentes.</t>
  </si>
  <si>
    <t>Reincidência de FGTS sobre aviso prévio indenizado</t>
  </si>
  <si>
    <t>O orçamento deve ser realizado por responsável técnico habilitado e é de responsabilidade do seu autor.</t>
  </si>
  <si>
    <t>Piso da categoria (2)</t>
  </si>
  <si>
    <t>Salário mínimo nacional (1)</t>
  </si>
  <si>
    <t>O TCE/RS não se responsabiliza pelo uso incorreto desta planilha.</t>
  </si>
  <si>
    <t>% Demitidos s/ Justa Causa em relação ao Estoque Médio</t>
  </si>
  <si>
    <t>Taxa de Rotatividade</t>
  </si>
  <si>
    <t>Acordo</t>
  </si>
  <si>
    <t>Variação Emprego Absoluta de 01-01-2019 a 31-12-2019</t>
  </si>
  <si>
    <t>Estoque recuperado início do Período 01-01-2019</t>
  </si>
  <si>
    <t>Estoque recuperado final do Período 31-12-2019</t>
  </si>
  <si>
    <t>Preencha as células em amarelo</t>
  </si>
  <si>
    <t>Tendo em vista que o CAGED foi descontinuado em janeiro de 2020, esta planilha foi atualizada até 31/12/2019.</t>
  </si>
  <si>
    <t>Ajustado, de acordo com a nova Lei Federal nº 13.932/2019</t>
  </si>
  <si>
    <t>taxa selic fornecida pelo banco central no mês de abril</t>
  </si>
  <si>
    <t>Custo do jogo de pneus 275/80 R22.5</t>
  </si>
  <si>
    <t>5. Benefícios e Despesas Indiretas - BDI</t>
  </si>
  <si>
    <t>1.2. Motorista Turno do Dia</t>
  </si>
  <si>
    <t>1.3. Vale-refeição (diário)</t>
  </si>
  <si>
    <t>1.3. Auxílio Alimentação (mensal)</t>
  </si>
  <si>
    <t>3.1. Veículo Coletor Com Compactador de até 10 anos</t>
  </si>
</sst>
</file>

<file path=xl/styles.xml><?xml version="1.0" encoding="utf-8"?>
<styleSheet xmlns="http://schemas.openxmlformats.org/spreadsheetml/2006/main">
  <numFmts count="10">
    <numFmt numFmtId="43" formatCode="_-* #,##0.00_-;\-* #,##0.00_-;_-* &quot;-&quot;??_-;_-@_-"/>
    <numFmt numFmtId="164" formatCode="&quot;R$ &quot;#,##0.00_);\(&quot;R$ &quot;#,##0.00\)"/>
    <numFmt numFmtId="165" formatCode="_(* #,##0.00_);_(* \(#,##0.00\);_(* &quot;-&quot;??_);_(@_)"/>
    <numFmt numFmtId="166" formatCode="_(* #,##0_);_(* \(#,##0\);_(* &quot;-&quot;??_);_(@_)"/>
    <numFmt numFmtId="167" formatCode="_(* #,##0.000_);_(* \(#,##0.000\);_(* &quot;-&quot;??_);_(@_)"/>
    <numFmt numFmtId="168" formatCode="&quot;R$ &quot;#,##0.00"/>
    <numFmt numFmtId="169" formatCode="0.0000"/>
    <numFmt numFmtId="170" formatCode="_-* #,##0.000_-;\-* #,##0.000_-;_-* &quot;-&quot;??_-;_-@_-"/>
    <numFmt numFmtId="171" formatCode="_-* #,##0.00_-;\-* #,##0.00_-;_-* &quot;-&quot;?_-;_-@_-"/>
    <numFmt numFmtId="172" formatCode="_-* #,##0_-;\-* #,##0_-;_-* &quot;-&quot;?_-;_-@_-"/>
  </numFmts>
  <fonts count="33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vertAlign val="subscript"/>
      <sz val="12"/>
      <color indexed="8"/>
      <name val="Arial"/>
      <family val="2"/>
    </font>
    <font>
      <sz val="12"/>
      <color indexed="8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3"/>
      <color theme="1"/>
      <name val="Arial"/>
      <family val="2"/>
    </font>
    <font>
      <sz val="10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indexed="81"/>
      <name val="Tahoma"/>
      <charset val="1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48">
    <xf numFmtId="0" fontId="0" fillId="0" borderId="0" xfId="0"/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165" fontId="0" fillId="0" borderId="0" xfId="3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5" fontId="6" fillId="0" borderId="0" xfId="3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65" fontId="6" fillId="0" borderId="2" xfId="3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65" fontId="6" fillId="0" borderId="1" xfId="3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6" fillId="0" borderId="0" xfId="3" applyFont="1" applyAlignment="1">
      <alignment horizontal="center" vertical="center"/>
    </xf>
    <xf numFmtId="165" fontId="3" fillId="2" borderId="4" xfId="3" applyFont="1" applyFill="1" applyBorder="1" applyAlignment="1">
      <alignment horizontal="center" vertical="center"/>
    </xf>
    <xf numFmtId="165" fontId="3" fillId="2" borderId="4" xfId="3" applyFont="1" applyFill="1" applyBorder="1" applyAlignment="1">
      <alignment vertical="center"/>
    </xf>
    <xf numFmtId="165" fontId="3" fillId="0" borderId="0" xfId="3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65" fontId="3" fillId="0" borderId="6" xfId="3" applyFont="1" applyBorder="1" applyAlignment="1">
      <alignment vertical="center"/>
    </xf>
    <xf numFmtId="165" fontId="3" fillId="0" borderId="7" xfId="3" applyFont="1" applyBorder="1" applyAlignment="1">
      <alignment vertical="center"/>
    </xf>
    <xf numFmtId="0" fontId="6" fillId="0" borderId="6" xfId="0" applyFont="1" applyBorder="1" applyAlignment="1">
      <alignment vertical="center"/>
    </xf>
    <xf numFmtId="165" fontId="6" fillId="0" borderId="6" xfId="3" applyFont="1" applyBorder="1" applyAlignment="1">
      <alignment vertical="center"/>
    </xf>
    <xf numFmtId="165" fontId="6" fillId="0" borderId="7" xfId="3" applyFont="1" applyBorder="1" applyAlignment="1">
      <alignment vertical="center"/>
    </xf>
    <xf numFmtId="165" fontId="3" fillId="0" borderId="0" xfId="3" applyFont="1" applyBorder="1" applyAlignment="1">
      <alignment horizontal="center" vertical="center"/>
    </xf>
    <xf numFmtId="3" fontId="6" fillId="0" borderId="0" xfId="0" applyNumberFormat="1" applyFont="1" applyAlignment="1">
      <alignment vertical="center"/>
    </xf>
    <xf numFmtId="165" fontId="3" fillId="0" borderId="0" xfId="3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65" fontId="3" fillId="0" borderId="0" xfId="3" applyFont="1" applyBorder="1" applyAlignment="1">
      <alignment vertical="center"/>
    </xf>
    <xf numFmtId="165" fontId="5" fillId="0" borderId="0" xfId="3" applyFont="1" applyAlignment="1">
      <alignment vertical="center"/>
    </xf>
    <xf numFmtId="166" fontId="6" fillId="0" borderId="1" xfId="3" applyNumberFormat="1" applyFont="1" applyBorder="1" applyAlignment="1">
      <alignment vertical="center"/>
    </xf>
    <xf numFmtId="165" fontId="6" fillId="0" borderId="0" xfId="3" applyFont="1"/>
    <xf numFmtId="165" fontId="4" fillId="0" borderId="0" xfId="3" applyFont="1" applyAlignment="1">
      <alignment vertical="center"/>
    </xf>
    <xf numFmtId="165" fontId="0" fillId="0" borderId="11" xfId="3" applyFont="1" applyBorder="1" applyAlignment="1">
      <alignment vertical="center"/>
    </xf>
    <xf numFmtId="165" fontId="3" fillId="0" borderId="12" xfId="3" applyFont="1" applyBorder="1" applyAlignment="1">
      <alignment horizontal="center" vertical="center"/>
    </xf>
    <xf numFmtId="165" fontId="3" fillId="0" borderId="5" xfId="3" applyFont="1" applyBorder="1" applyAlignment="1">
      <alignment horizontal="left" vertical="center"/>
    </xf>
    <xf numFmtId="4" fontId="3" fillId="0" borderId="6" xfId="0" applyNumberFormat="1" applyFont="1" applyBorder="1" applyAlignment="1">
      <alignment horizontal="centerContinuous" vertical="center"/>
    </xf>
    <xf numFmtId="165" fontId="3" fillId="0" borderId="0" xfId="3" applyFont="1" applyAlignment="1">
      <alignment vertical="center"/>
    </xf>
    <xf numFmtId="165" fontId="0" fillId="0" borderId="9" xfId="0" applyNumberFormat="1" applyBorder="1" applyAlignment="1">
      <alignment vertical="center"/>
    </xf>
    <xf numFmtId="4" fontId="0" fillId="0" borderId="9" xfId="0" applyNumberFormat="1" applyBorder="1" applyAlignment="1">
      <alignment horizontal="centerContinuous" vertical="center"/>
    </xf>
    <xf numFmtId="165" fontId="0" fillId="0" borderId="9" xfId="3" applyFont="1" applyBorder="1" applyAlignment="1">
      <alignment vertical="center"/>
    </xf>
    <xf numFmtId="165" fontId="3" fillId="0" borderId="13" xfId="3" applyFont="1" applyBorder="1" applyAlignment="1">
      <alignment horizontal="right" vertical="center"/>
    </xf>
    <xf numFmtId="165" fontId="0" fillId="0" borderId="14" xfId="3" applyFont="1" applyBorder="1" applyAlignment="1">
      <alignment vertical="center"/>
    </xf>
    <xf numFmtId="165" fontId="6" fillId="0" borderId="1" xfId="3" applyFont="1" applyBorder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65" fontId="6" fillId="0" borderId="0" xfId="3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5" fontId="4" fillId="0" borderId="0" xfId="3" applyFont="1" applyBorder="1" applyAlignment="1">
      <alignment vertical="center"/>
    </xf>
    <xf numFmtId="10" fontId="0" fillId="0" borderId="15" xfId="2" applyNumberFormat="1" applyFont="1" applyBorder="1" applyAlignment="1">
      <alignment vertical="center"/>
    </xf>
    <xf numFmtId="165" fontId="6" fillId="0" borderId="0" xfId="3" applyFont="1" applyBorder="1" applyAlignment="1">
      <alignment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165" fontId="13" fillId="2" borderId="17" xfId="3" applyFont="1" applyFill="1" applyBorder="1" applyAlignment="1">
      <alignment horizontal="center" vertical="center"/>
    </xf>
    <xf numFmtId="165" fontId="13" fillId="2" borderId="18" xfId="3" applyFont="1" applyFill="1" applyBorder="1" applyAlignment="1">
      <alignment horizontal="center" vertical="center"/>
    </xf>
    <xf numFmtId="165" fontId="3" fillId="0" borderId="19" xfId="3" applyFont="1" applyBorder="1" applyAlignment="1">
      <alignment horizontal="center" vertical="center"/>
    </xf>
    <xf numFmtId="165" fontId="1" fillId="0" borderId="14" xfId="3" applyFont="1" applyBorder="1" applyAlignment="1">
      <alignment horizontal="left" vertical="center"/>
    </xf>
    <xf numFmtId="165" fontId="6" fillId="0" borderId="9" xfId="3" applyFont="1" applyBorder="1" applyAlignment="1">
      <alignment vertical="center"/>
    </xf>
    <xf numFmtId="165" fontId="6" fillId="0" borderId="14" xfId="3" applyFont="1" applyBorder="1" applyAlignment="1">
      <alignment vertical="center"/>
    </xf>
    <xf numFmtId="166" fontId="6" fillId="0" borderId="0" xfId="3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6" fillId="0" borderId="20" xfId="3" applyNumberFormat="1" applyFont="1" applyBorder="1" applyAlignment="1">
      <alignment horizontal="center" vertical="center"/>
    </xf>
    <xf numFmtId="165" fontId="3" fillId="0" borderId="28" xfId="3" applyFont="1" applyBorder="1" applyAlignment="1">
      <alignment vertical="center"/>
    </xf>
    <xf numFmtId="4" fontId="3" fillId="0" borderId="29" xfId="0" applyNumberFormat="1" applyFont="1" applyBorder="1" applyAlignment="1">
      <alignment vertical="center"/>
    </xf>
    <xf numFmtId="165" fontId="6" fillId="0" borderId="19" xfId="3" applyFont="1" applyBorder="1" applyAlignment="1">
      <alignment vertical="center"/>
    </xf>
    <xf numFmtId="165" fontId="6" fillId="0" borderId="11" xfId="3" applyFont="1" applyBorder="1" applyAlignment="1">
      <alignment vertical="center"/>
    </xf>
    <xf numFmtId="0" fontId="0" fillId="0" borderId="11" xfId="0" applyBorder="1" applyAlignment="1">
      <alignment vertical="center"/>
    </xf>
    <xf numFmtId="1" fontId="6" fillId="0" borderId="12" xfId="3" applyNumberFormat="1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29" xfId="0" applyBorder="1" applyAlignment="1">
      <alignment vertical="center"/>
    </xf>
    <xf numFmtId="1" fontId="3" fillId="0" borderId="31" xfId="3" applyNumberFormat="1" applyFont="1" applyBorder="1" applyAlignment="1">
      <alignment horizontal="center" vertical="center"/>
    </xf>
    <xf numFmtId="165" fontId="12" fillId="0" borderId="1" xfId="3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65" fontId="3" fillId="2" borderId="4" xfId="3" applyNumberFormat="1" applyFont="1" applyFill="1" applyBorder="1" applyAlignment="1">
      <alignment horizontal="center" vertical="center"/>
    </xf>
    <xf numFmtId="165" fontId="6" fillId="0" borderId="1" xfId="3" applyFont="1" applyFill="1" applyBorder="1" applyAlignment="1">
      <alignment horizontal="center" vertical="center"/>
    </xf>
    <xf numFmtId="165" fontId="11" fillId="0" borderId="0" xfId="3" applyFont="1" applyAlignment="1">
      <alignment vertical="center"/>
    </xf>
    <xf numFmtId="43" fontId="6" fillId="0" borderId="0" xfId="0" applyNumberFormat="1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2" xfId="3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165" fontId="6" fillId="3" borderId="1" xfId="3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165" fontId="6" fillId="3" borderId="0" xfId="3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166" fontId="6" fillId="0" borderId="1" xfId="3" applyNumberFormat="1" applyFont="1" applyBorder="1" applyAlignment="1">
      <alignment horizontal="center" vertical="center"/>
    </xf>
    <xf numFmtId="165" fontId="6" fillId="3" borderId="1" xfId="3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/>
    </xf>
    <xf numFmtId="167" fontId="6" fillId="3" borderId="2" xfId="3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13" fontId="6" fillId="3" borderId="1" xfId="0" applyNumberFormat="1" applyFont="1" applyFill="1" applyBorder="1" applyAlignment="1">
      <alignment horizontal="center" vertical="center"/>
    </xf>
    <xf numFmtId="166" fontId="6" fillId="0" borderId="1" xfId="3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5" fontId="3" fillId="0" borderId="1" xfId="3" applyFont="1" applyBorder="1" applyAlignment="1">
      <alignment horizontal="center" vertical="center"/>
    </xf>
    <xf numFmtId="165" fontId="6" fillId="0" borderId="2" xfId="3" applyFont="1" applyFill="1" applyBorder="1" applyAlignment="1">
      <alignment horizontal="center" vertical="center"/>
    </xf>
    <xf numFmtId="0" fontId="8" fillId="0" borderId="0" xfId="1" applyAlignment="1" applyProtection="1">
      <alignment vertical="center"/>
    </xf>
    <xf numFmtId="0" fontId="3" fillId="0" borderId="0" xfId="0" applyFont="1"/>
    <xf numFmtId="0" fontId="13" fillId="2" borderId="32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165" fontId="13" fillId="2" borderId="33" xfId="3" applyFont="1" applyFill="1" applyBorder="1" applyAlignment="1">
      <alignment horizontal="center" vertical="center"/>
    </xf>
    <xf numFmtId="165" fontId="6" fillId="0" borderId="0" xfId="3" applyFont="1" applyFill="1" applyAlignment="1">
      <alignment vertical="center"/>
    </xf>
    <xf numFmtId="165" fontId="3" fillId="0" borderId="1" xfId="3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vertical="center"/>
    </xf>
    <xf numFmtId="164" fontId="3" fillId="0" borderId="34" xfId="0" applyNumberFormat="1" applyFont="1" applyBorder="1" applyAlignment="1">
      <alignment vertical="center"/>
    </xf>
    <xf numFmtId="165" fontId="3" fillId="0" borderId="35" xfId="3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65" fontId="3" fillId="0" borderId="0" xfId="3" applyFont="1" applyAlignment="1">
      <alignment horizontal="center" vertical="center"/>
    </xf>
    <xf numFmtId="165" fontId="3" fillId="0" borderId="3" xfId="3" applyFont="1" applyBorder="1" applyAlignment="1">
      <alignment horizontal="center" vertical="center"/>
    </xf>
    <xf numFmtId="2" fontId="6" fillId="0" borderId="1" xfId="3" applyNumberFormat="1" applyFont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6" fillId="0" borderId="0" xfId="3" applyFont="1" applyAlignment="1">
      <alignment horizontal="right" vertical="center"/>
    </xf>
    <xf numFmtId="165" fontId="3" fillId="2" borderId="7" xfId="3" applyFont="1" applyFill="1" applyBorder="1" applyAlignment="1">
      <alignment horizontal="center" vertical="center"/>
    </xf>
    <xf numFmtId="165" fontId="3" fillId="0" borderId="14" xfId="3" applyFont="1" applyBorder="1" applyAlignment="1">
      <alignment vertical="center"/>
    </xf>
    <xf numFmtId="165" fontId="3" fillId="0" borderId="9" xfId="0" applyNumberFormat="1" applyFont="1" applyBorder="1" applyAlignment="1">
      <alignment vertical="center"/>
    </xf>
    <xf numFmtId="165" fontId="3" fillId="0" borderId="9" xfId="3" applyFont="1" applyBorder="1" applyAlignment="1">
      <alignment vertical="center"/>
    </xf>
    <xf numFmtId="10" fontId="3" fillId="0" borderId="15" xfId="2" applyNumberFormat="1" applyFont="1" applyBorder="1" applyAlignment="1">
      <alignment vertical="center"/>
    </xf>
    <xf numFmtId="165" fontId="3" fillId="0" borderId="38" xfId="3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165" fontId="6" fillId="0" borderId="39" xfId="3" applyFont="1" applyBorder="1" applyAlignment="1">
      <alignment vertical="center"/>
    </xf>
    <xf numFmtId="165" fontId="6" fillId="0" borderId="40" xfId="3" applyFont="1" applyBorder="1" applyAlignment="1">
      <alignment vertical="center"/>
    </xf>
    <xf numFmtId="165" fontId="6" fillId="0" borderId="41" xfId="3" applyFont="1" applyBorder="1" applyAlignment="1">
      <alignment vertical="center"/>
    </xf>
    <xf numFmtId="0" fontId="6" fillId="0" borderId="41" xfId="0" applyFont="1" applyBorder="1" applyAlignment="1">
      <alignment vertical="center"/>
    </xf>
    <xf numFmtId="1" fontId="6" fillId="0" borderId="37" xfId="3" applyNumberFormat="1" applyFont="1" applyBorder="1" applyAlignment="1">
      <alignment horizontal="center" vertical="center"/>
    </xf>
    <xf numFmtId="165" fontId="3" fillId="0" borderId="14" xfId="3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Continuous" vertical="center"/>
    </xf>
    <xf numFmtId="4" fontId="0" fillId="0" borderId="0" xfId="0" applyNumberForma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165" fontId="6" fillId="6" borderId="1" xfId="3" applyFont="1" applyFill="1" applyBorder="1" applyAlignment="1">
      <alignment horizontal="center" vertical="center"/>
    </xf>
    <xf numFmtId="165" fontId="6" fillId="6" borderId="1" xfId="3" applyFont="1" applyFill="1" applyBorder="1" applyAlignment="1">
      <alignment vertical="center"/>
    </xf>
    <xf numFmtId="9" fontId="3" fillId="0" borderId="18" xfId="2" applyFont="1" applyBorder="1" applyAlignment="1">
      <alignment vertical="center"/>
    </xf>
    <xf numFmtId="10" fontId="6" fillId="0" borderId="15" xfId="2" applyNumberFormat="1" applyFont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165" fontId="6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0" fillId="0" borderId="38" xfId="0" applyFill="1" applyBorder="1" applyAlignment="1">
      <alignment vertical="center"/>
    </xf>
    <xf numFmtId="4" fontId="0" fillId="0" borderId="0" xfId="0" applyNumberFormat="1" applyFill="1" applyBorder="1" applyAlignment="1">
      <alignment vertical="center"/>
    </xf>
    <xf numFmtId="165" fontId="0" fillId="0" borderId="0" xfId="3" applyFont="1" applyFill="1" applyBorder="1" applyAlignment="1">
      <alignment vertical="center"/>
    </xf>
    <xf numFmtId="165" fontId="0" fillId="0" borderId="39" xfId="3" applyFont="1" applyFill="1" applyBorder="1" applyAlignment="1">
      <alignment vertical="center"/>
    </xf>
    <xf numFmtId="0" fontId="6" fillId="0" borderId="1" xfId="0" applyNumberFormat="1" applyFont="1" applyBorder="1" applyAlignment="1">
      <alignment horizontal="center" vertical="center"/>
    </xf>
    <xf numFmtId="166" fontId="3" fillId="0" borderId="0" xfId="3" applyNumberFormat="1" applyFont="1" applyBorder="1" applyAlignment="1">
      <alignment horizontal="center" vertical="center"/>
    </xf>
    <xf numFmtId="0" fontId="18" fillId="0" borderId="14" xfId="0" applyFont="1" applyBorder="1"/>
    <xf numFmtId="0" fontId="6" fillId="0" borderId="0" xfId="0" applyFont="1" applyBorder="1"/>
    <xf numFmtId="0" fontId="18" fillId="0" borderId="47" xfId="0" applyFont="1" applyBorder="1"/>
    <xf numFmtId="0" fontId="18" fillId="3" borderId="20" xfId="0" applyFont="1" applyFill="1" applyBorder="1"/>
    <xf numFmtId="0" fontId="18" fillId="0" borderId="23" xfId="0" applyFont="1" applyBorder="1"/>
    <xf numFmtId="0" fontId="18" fillId="0" borderId="48" xfId="0" applyFont="1" applyBorder="1"/>
    <xf numFmtId="0" fontId="18" fillId="0" borderId="20" xfId="0" applyFont="1" applyBorder="1"/>
    <xf numFmtId="0" fontId="18" fillId="0" borderId="28" xfId="0" applyFont="1" applyBorder="1"/>
    <xf numFmtId="2" fontId="19" fillId="7" borderId="1" xfId="0" applyNumberFormat="1" applyFont="1" applyFill="1" applyBorder="1" applyAlignment="1">
      <alignment horizontal="right"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2" fontId="19" fillId="7" borderId="36" xfId="0" applyNumberFormat="1" applyFont="1" applyFill="1" applyBorder="1" applyAlignment="1">
      <alignment horizontal="right" vertical="center"/>
    </xf>
    <xf numFmtId="0" fontId="19" fillId="0" borderId="23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10" fontId="19" fillId="0" borderId="20" xfId="0" applyNumberFormat="1" applyFont="1" applyBorder="1" applyAlignment="1">
      <alignment horizontal="right" vertical="center"/>
    </xf>
    <xf numFmtId="0" fontId="19" fillId="0" borderId="0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10" fontId="23" fillId="0" borderId="20" xfId="0" applyNumberFormat="1" applyFont="1" applyBorder="1" applyAlignment="1">
      <alignment horizontal="right" vertical="center"/>
    </xf>
    <xf numFmtId="0" fontId="19" fillId="5" borderId="23" xfId="0" applyFont="1" applyFill="1" applyBorder="1" applyAlignment="1">
      <alignment horizontal="left" vertical="center"/>
    </xf>
    <xf numFmtId="0" fontId="23" fillId="5" borderId="1" xfId="0" applyFont="1" applyFill="1" applyBorder="1" applyAlignment="1">
      <alignment horizontal="left" vertical="center"/>
    </xf>
    <xf numFmtId="10" fontId="23" fillId="5" borderId="20" xfId="0" applyNumberFormat="1" applyFont="1" applyFill="1" applyBorder="1" applyAlignment="1">
      <alignment horizontal="right" vertical="center"/>
    </xf>
    <xf numFmtId="0" fontId="24" fillId="0" borderId="1" xfId="0" applyFont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10" fontId="6" fillId="0" borderId="0" xfId="0" applyNumberFormat="1" applyFont="1"/>
    <xf numFmtId="9" fontId="19" fillId="0" borderId="0" xfId="2" applyFont="1" applyBorder="1" applyAlignment="1">
      <alignment horizontal="right" vertical="center"/>
    </xf>
    <xf numFmtId="10" fontId="6" fillId="0" borderId="0" xfId="0" applyNumberFormat="1" applyFont="1" applyBorder="1"/>
    <xf numFmtId="0" fontId="19" fillId="0" borderId="1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/>
    </xf>
    <xf numFmtId="0" fontId="19" fillId="9" borderId="24" xfId="0" applyFont="1" applyFill="1" applyBorder="1" applyAlignment="1">
      <alignment horizontal="left" vertical="center"/>
    </xf>
    <xf numFmtId="0" fontId="23" fillId="9" borderId="36" xfId="0" applyFont="1" applyFill="1" applyBorder="1" applyAlignment="1">
      <alignment horizontal="left" vertical="center"/>
    </xf>
    <xf numFmtId="10" fontId="23" fillId="9" borderId="37" xfId="0" applyNumberFormat="1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left" vertical="center"/>
    </xf>
    <xf numFmtId="10" fontId="23" fillId="0" borderId="0" xfId="0" applyNumberFormat="1" applyFont="1" applyFill="1" applyBorder="1" applyAlignment="1">
      <alignment horizontal="right" vertical="center"/>
    </xf>
    <xf numFmtId="0" fontId="25" fillId="4" borderId="0" xfId="0" applyFont="1" applyFill="1" applyBorder="1" applyAlignment="1">
      <alignment horizontal="left" vertical="center"/>
    </xf>
    <xf numFmtId="10" fontId="19" fillId="0" borderId="0" xfId="0" applyNumberFormat="1" applyFont="1" applyFill="1" applyBorder="1" applyAlignment="1">
      <alignment horizontal="right" vertical="center"/>
    </xf>
    <xf numFmtId="0" fontId="19" fillId="4" borderId="0" xfId="0" applyFont="1" applyFill="1" applyBorder="1" applyAlignment="1">
      <alignment horizontal="left" vertical="center"/>
    </xf>
    <xf numFmtId="10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left" vertical="center"/>
    </xf>
    <xf numFmtId="10" fontId="23" fillId="0" borderId="0" xfId="0" applyNumberFormat="1" applyFont="1" applyBorder="1" applyAlignment="1">
      <alignment horizontal="right" vertical="center"/>
    </xf>
    <xf numFmtId="0" fontId="26" fillId="0" borderId="0" xfId="0" applyFont="1" applyBorder="1" applyAlignment="1">
      <alignment horizontal="justify" vertical="center"/>
    </xf>
    <xf numFmtId="0" fontId="8" fillId="0" borderId="0" xfId="1" applyFont="1" applyBorder="1" applyAlignment="1" applyProtection="1">
      <alignment horizontal="left" vertical="center"/>
    </xf>
    <xf numFmtId="0" fontId="27" fillId="0" borderId="0" xfId="0" applyFont="1" applyBorder="1"/>
    <xf numFmtId="0" fontId="19" fillId="0" borderId="0" xfId="0" applyFont="1" applyBorder="1" applyAlignment="1">
      <alignment horizontal="right" vertical="center"/>
    </xf>
    <xf numFmtId="0" fontId="8" fillId="0" borderId="0" xfId="1" applyFont="1" applyBorder="1" applyAlignment="1" applyProtection="1">
      <alignment vertical="center"/>
    </xf>
    <xf numFmtId="0" fontId="5" fillId="0" borderId="15" xfId="0" applyFont="1" applyBorder="1"/>
    <xf numFmtId="0" fontId="5" fillId="0" borderId="23" xfId="0" applyFont="1" applyBorder="1"/>
    <xf numFmtId="0" fontId="5" fillId="3" borderId="20" xfId="0" applyFont="1" applyFill="1" applyBorder="1"/>
    <xf numFmtId="0" fontId="5" fillId="0" borderId="47" xfId="0" applyFont="1" applyBorder="1"/>
    <xf numFmtId="0" fontId="5" fillId="3" borderId="48" xfId="0" applyFont="1" applyFill="1" applyBorder="1"/>
    <xf numFmtId="0" fontId="5" fillId="0" borderId="49" xfId="0" applyFont="1" applyBorder="1"/>
    <xf numFmtId="0" fontId="5" fillId="3" borderId="50" xfId="0" applyFont="1" applyFill="1" applyBorder="1"/>
    <xf numFmtId="0" fontId="5" fillId="0" borderId="38" xfId="0" applyFont="1" applyBorder="1"/>
    <xf numFmtId="0" fontId="5" fillId="0" borderId="39" xfId="0" applyFont="1" applyBorder="1"/>
    <xf numFmtId="0" fontId="7" fillId="0" borderId="48" xfId="0" applyFont="1" applyBorder="1"/>
    <xf numFmtId="0" fontId="7" fillId="0" borderId="38" xfId="0" applyFont="1" applyFill="1" applyBorder="1" applyAlignment="1">
      <alignment horizontal="left" vertical="center"/>
    </xf>
    <xf numFmtId="0" fontId="5" fillId="0" borderId="0" xfId="0" applyFont="1" applyBorder="1"/>
    <xf numFmtId="9" fontId="5" fillId="0" borderId="23" xfId="2" applyFont="1" applyBorder="1"/>
    <xf numFmtId="9" fontId="5" fillId="0" borderId="1" xfId="2" applyFont="1" applyBorder="1" applyAlignment="1">
      <alignment horizontal="center"/>
    </xf>
    <xf numFmtId="9" fontId="5" fillId="0" borderId="20" xfId="2" applyFont="1" applyBorder="1"/>
    <xf numFmtId="0" fontId="5" fillId="0" borderId="21" xfId="0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center" vertical="center"/>
    </xf>
    <xf numFmtId="10" fontId="5" fillId="3" borderId="12" xfId="0" applyNumberFormat="1" applyFont="1" applyFill="1" applyBorder="1" applyAlignment="1">
      <alignment horizontal="center" vertical="center"/>
    </xf>
    <xf numFmtId="10" fontId="5" fillId="0" borderId="20" xfId="2" applyNumberFormat="1" applyFont="1" applyBorder="1"/>
    <xf numFmtId="0" fontId="5" fillId="0" borderId="23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0" fontId="5" fillId="3" borderId="20" xfId="0" applyNumberFormat="1" applyFont="1" applyFill="1" applyBorder="1" applyAlignment="1">
      <alignment horizontal="center" vertical="center"/>
    </xf>
    <xf numFmtId="10" fontId="5" fillId="0" borderId="20" xfId="0" applyNumberFormat="1" applyFont="1" applyFill="1" applyBorder="1" applyAlignment="1">
      <alignment horizontal="center" vertical="center"/>
    </xf>
    <xf numFmtId="10" fontId="5" fillId="3" borderId="1" xfId="2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20" xfId="0" applyFont="1" applyBorder="1"/>
    <xf numFmtId="0" fontId="5" fillId="0" borderId="24" xfId="0" applyFont="1" applyFill="1" applyBorder="1" applyAlignment="1">
      <alignment horizontal="left" vertical="center"/>
    </xf>
    <xf numFmtId="10" fontId="5" fillId="3" borderId="37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5" xfId="0" applyFont="1" applyFill="1" applyBorder="1" applyAlignment="1">
      <alignment vertical="center"/>
    </xf>
    <xf numFmtId="0" fontId="5" fillId="0" borderId="26" xfId="0" applyFont="1" applyFill="1" applyBorder="1" applyAlignment="1">
      <alignment vertical="center"/>
    </xf>
    <xf numFmtId="10" fontId="5" fillId="0" borderId="27" xfId="0" applyNumberFormat="1" applyFont="1" applyFill="1" applyBorder="1" applyAlignment="1">
      <alignment vertical="center"/>
    </xf>
    <xf numFmtId="0" fontId="5" fillId="0" borderId="28" xfId="0" applyFont="1" applyFill="1" applyBorder="1" applyAlignment="1">
      <alignment horizontal="left" vertical="center"/>
    </xf>
    <xf numFmtId="0" fontId="5" fillId="0" borderId="29" xfId="0" applyFont="1" applyFill="1" applyBorder="1" applyAlignment="1">
      <alignment horizontal="left" vertical="center"/>
    </xf>
    <xf numFmtId="0" fontId="5" fillId="0" borderId="30" xfId="0" applyFont="1" applyFill="1" applyBorder="1" applyAlignment="1">
      <alignment vertical="center"/>
    </xf>
    <xf numFmtId="0" fontId="7" fillId="5" borderId="5" xfId="0" applyFont="1" applyFill="1" applyBorder="1" applyAlignment="1">
      <alignment vertical="center" wrapText="1"/>
    </xf>
    <xf numFmtId="0" fontId="5" fillId="5" borderId="6" xfId="0" applyFont="1" applyFill="1" applyBorder="1" applyAlignment="1">
      <alignment vertical="center"/>
    </xf>
    <xf numFmtId="10" fontId="7" fillId="5" borderId="7" xfId="0" applyNumberFormat="1" applyFont="1" applyFill="1" applyBorder="1" applyAlignment="1">
      <alignment horizontal="center" vertical="center" wrapText="1"/>
    </xf>
    <xf numFmtId="10" fontId="5" fillId="0" borderId="23" xfId="2" applyNumberFormat="1" applyFont="1" applyBorder="1" applyAlignment="1">
      <alignment horizontal="right"/>
    </xf>
    <xf numFmtId="10" fontId="5" fillId="0" borderId="1" xfId="2" applyNumberFormat="1" applyFont="1" applyBorder="1" applyAlignment="1">
      <alignment horizontal="right"/>
    </xf>
    <xf numFmtId="10" fontId="5" fillId="0" borderId="20" xfId="2" applyNumberFormat="1" applyFont="1" applyBorder="1" applyAlignment="1">
      <alignment horizontal="right"/>
    </xf>
    <xf numFmtId="10" fontId="5" fillId="0" borderId="24" xfId="2" applyNumberFormat="1" applyFont="1" applyBorder="1" applyAlignment="1">
      <alignment horizontal="right"/>
    </xf>
    <xf numFmtId="10" fontId="5" fillId="0" borderId="36" xfId="2" applyNumberFormat="1" applyFont="1" applyBorder="1" applyAlignment="1">
      <alignment horizontal="right"/>
    </xf>
    <xf numFmtId="10" fontId="5" fillId="0" borderId="37" xfId="2" applyNumberFormat="1" applyFont="1" applyBorder="1" applyAlignment="1">
      <alignment horizontal="right"/>
    </xf>
    <xf numFmtId="0" fontId="6" fillId="0" borderId="52" xfId="0" applyFont="1" applyBorder="1"/>
    <xf numFmtId="0" fontId="20" fillId="0" borderId="52" xfId="0" applyFont="1" applyBorder="1" applyAlignment="1">
      <alignment horizontal="justify"/>
    </xf>
    <xf numFmtId="0" fontId="20" fillId="0" borderId="53" xfId="0" applyFont="1" applyBorder="1" applyAlignment="1">
      <alignment horizontal="justify"/>
    </xf>
    <xf numFmtId="0" fontId="17" fillId="10" borderId="51" xfId="0" applyFont="1" applyFill="1" applyBorder="1" applyAlignment="1">
      <alignment horizontal="center"/>
    </xf>
    <xf numFmtId="1" fontId="6" fillId="0" borderId="0" xfId="3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165" fontId="6" fillId="3" borderId="9" xfId="3" applyNumberFormat="1" applyFont="1" applyFill="1" applyBorder="1" applyAlignment="1">
      <alignment vertical="center"/>
    </xf>
    <xf numFmtId="165" fontId="6" fillId="0" borderId="10" xfId="3" applyFont="1" applyBorder="1" applyAlignment="1">
      <alignment vertical="center"/>
    </xf>
    <xf numFmtId="165" fontId="3" fillId="0" borderId="7" xfId="3" applyFont="1" applyBorder="1" applyAlignment="1">
      <alignment horizontal="right" vertical="center"/>
    </xf>
    <xf numFmtId="165" fontId="3" fillId="2" borderId="4" xfId="3" applyFont="1" applyFill="1" applyBorder="1" applyAlignment="1">
      <alignment horizontal="right" vertical="center"/>
    </xf>
    <xf numFmtId="168" fontId="3" fillId="0" borderId="1" xfId="0" applyNumberFormat="1" applyFont="1" applyBorder="1" applyAlignment="1">
      <alignment vertical="center"/>
    </xf>
    <xf numFmtId="168" fontId="0" fillId="0" borderId="1" xfId="0" applyNumberFormat="1" applyBorder="1" applyAlignment="1">
      <alignment vertical="center"/>
    </xf>
    <xf numFmtId="168" fontId="3" fillId="0" borderId="36" xfId="0" applyNumberFormat="1" applyFont="1" applyBorder="1" applyAlignment="1">
      <alignment vertical="center"/>
    </xf>
    <xf numFmtId="165" fontId="3" fillId="0" borderId="11" xfId="3" applyFont="1" applyBorder="1" applyAlignment="1">
      <alignment vertical="center"/>
    </xf>
    <xf numFmtId="165" fontId="3" fillId="0" borderId="5" xfId="3" applyFont="1" applyBorder="1" applyAlignment="1">
      <alignment vertical="center"/>
    </xf>
    <xf numFmtId="9" fontId="3" fillId="3" borderId="7" xfId="2" applyFont="1" applyFill="1" applyBorder="1" applyAlignment="1">
      <alignment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5" fontId="3" fillId="0" borderId="9" xfId="3" applyFont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 wrapText="1"/>
    </xf>
    <xf numFmtId="167" fontId="6" fillId="0" borderId="1" xfId="3" applyNumberFormat="1" applyFont="1" applyBorder="1" applyAlignment="1">
      <alignment horizontal="center" vertical="center"/>
    </xf>
    <xf numFmtId="166" fontId="3" fillId="0" borderId="1" xfId="3" applyNumberFormat="1" applyFont="1" applyBorder="1" applyAlignment="1">
      <alignment horizontal="center" vertical="center"/>
    </xf>
    <xf numFmtId="167" fontId="3" fillId="0" borderId="1" xfId="3" applyNumberFormat="1" applyFont="1" applyBorder="1" applyAlignment="1">
      <alignment horizontal="center" vertical="center"/>
    </xf>
    <xf numFmtId="167" fontId="6" fillId="0" borderId="2" xfId="3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/>
    <xf numFmtId="0" fontId="3" fillId="0" borderId="54" xfId="0" applyFont="1" applyBorder="1" applyAlignment="1">
      <alignment vertical="center"/>
    </xf>
    <xf numFmtId="0" fontId="3" fillId="0" borderId="54" xfId="0" applyFont="1" applyBorder="1" applyAlignment="1">
      <alignment horizontal="center" vertical="center"/>
    </xf>
    <xf numFmtId="165" fontId="3" fillId="0" borderId="54" xfId="3" applyFont="1" applyBorder="1" applyAlignment="1">
      <alignment horizontal="center" vertical="center"/>
    </xf>
    <xf numFmtId="165" fontId="3" fillId="0" borderId="54" xfId="3" applyFont="1" applyFill="1" applyBorder="1" applyAlignment="1">
      <alignment horizontal="center" vertical="center"/>
    </xf>
    <xf numFmtId="4" fontId="1" fillId="0" borderId="0" xfId="0" applyNumberFormat="1" applyFont="1" applyBorder="1" applyAlignment="1">
      <alignment vertical="center"/>
    </xf>
    <xf numFmtId="0" fontId="1" fillId="0" borderId="0" xfId="0" applyFont="1" applyFill="1"/>
    <xf numFmtId="0" fontId="7" fillId="0" borderId="23" xfId="0" applyFont="1" applyBorder="1"/>
    <xf numFmtId="0" fontId="7" fillId="0" borderId="1" xfId="0" applyFont="1" applyBorder="1"/>
    <xf numFmtId="0" fontId="7" fillId="0" borderId="20" xfId="0" applyFont="1" applyBorder="1"/>
    <xf numFmtId="0" fontId="5" fillId="0" borderId="23" xfId="0" applyFont="1" applyFill="1" applyBorder="1"/>
    <xf numFmtId="0" fontId="5" fillId="0" borderId="1" xfId="0" applyFont="1" applyFill="1" applyBorder="1"/>
    <xf numFmtId="0" fontId="5" fillId="0" borderId="1" xfId="0" applyFont="1" applyBorder="1"/>
    <xf numFmtId="170" fontId="24" fillId="0" borderId="20" xfId="3" applyNumberFormat="1" applyFont="1" applyBorder="1" applyAlignment="1">
      <alignment horizontal="center" vertical="center" wrapText="1"/>
    </xf>
    <xf numFmtId="171" fontId="5" fillId="0" borderId="20" xfId="0" applyNumberFormat="1" applyFont="1" applyBorder="1"/>
    <xf numFmtId="2" fontId="5" fillId="0" borderId="20" xfId="0" applyNumberFormat="1" applyFont="1" applyBorder="1"/>
    <xf numFmtId="0" fontId="5" fillId="0" borderId="24" xfId="0" applyFont="1" applyFill="1" applyBorder="1"/>
    <xf numFmtId="0" fontId="5" fillId="0" borderId="36" xfId="0" applyFont="1" applyBorder="1"/>
    <xf numFmtId="171" fontId="5" fillId="3" borderId="20" xfId="0" applyNumberFormat="1" applyFont="1" applyFill="1" applyBorder="1"/>
    <xf numFmtId="171" fontId="5" fillId="0" borderId="37" xfId="0" applyNumberFormat="1" applyFont="1" applyBorder="1"/>
    <xf numFmtId="0" fontId="17" fillId="0" borderId="1" xfId="0" applyFont="1" applyFill="1" applyBorder="1" applyAlignment="1">
      <alignment horizontal="center"/>
    </xf>
    <xf numFmtId="0" fontId="17" fillId="0" borderId="23" xfId="0" applyFont="1" applyFill="1" applyBorder="1" applyAlignment="1">
      <alignment horizontal="center"/>
    </xf>
    <xf numFmtId="0" fontId="17" fillId="0" borderId="20" xfId="0" applyFont="1" applyFill="1" applyBorder="1" applyAlignment="1">
      <alignment horizontal="center"/>
    </xf>
    <xf numFmtId="172" fontId="5" fillId="3" borderId="20" xfId="0" applyNumberFormat="1" applyFont="1" applyFill="1" applyBorder="1"/>
    <xf numFmtId="0" fontId="5" fillId="0" borderId="23" xfId="0" applyFont="1" applyBorder="1" applyAlignment="1">
      <alignment horizontal="right"/>
    </xf>
    <xf numFmtId="4" fontId="32" fillId="0" borderId="0" xfId="0" applyNumberFormat="1" applyFont="1" applyBorder="1" applyAlignment="1">
      <alignment vertical="center"/>
    </xf>
    <xf numFmtId="0" fontId="5" fillId="0" borderId="20" xfId="0" applyFont="1" applyFill="1" applyBorder="1"/>
    <xf numFmtId="0" fontId="31" fillId="0" borderId="0" xfId="0" applyFont="1"/>
    <xf numFmtId="0" fontId="1" fillId="0" borderId="2" xfId="0" applyFont="1" applyBorder="1" applyAlignment="1">
      <alignment vertical="center"/>
    </xf>
    <xf numFmtId="169" fontId="7" fillId="0" borderId="20" xfId="0" applyNumberFormat="1" applyFont="1" applyBorder="1"/>
    <xf numFmtId="9" fontId="18" fillId="0" borderId="20" xfId="2" applyFont="1" applyBorder="1"/>
    <xf numFmtId="10" fontId="18" fillId="0" borderId="20" xfId="2" applyNumberFormat="1" applyFont="1" applyBorder="1"/>
    <xf numFmtId="9" fontId="7" fillId="0" borderId="31" xfId="2" applyFont="1" applyBorder="1"/>
    <xf numFmtId="0" fontId="5" fillId="0" borderId="55" xfId="0" applyFont="1" applyBorder="1"/>
    <xf numFmtId="13" fontId="1" fillId="3" borderId="1" xfId="0" applyNumberFormat="1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165" fontId="3" fillId="0" borderId="14" xfId="3" applyFont="1" applyBorder="1" applyAlignment="1">
      <alignment horizontal="left" vertical="center"/>
    </xf>
    <xf numFmtId="165" fontId="3" fillId="0" borderId="9" xfId="3" applyFont="1" applyBorder="1" applyAlignment="1">
      <alignment horizontal="left" vertical="center"/>
    </xf>
    <xf numFmtId="0" fontId="17" fillId="8" borderId="25" xfId="0" applyFont="1" applyFill="1" applyBorder="1" applyAlignment="1">
      <alignment horizontal="center" vertical="center"/>
    </xf>
    <xf numFmtId="0" fontId="17" fillId="8" borderId="26" xfId="0" applyFont="1" applyFill="1" applyBorder="1" applyAlignment="1">
      <alignment horizontal="center" vertical="center"/>
    </xf>
    <xf numFmtId="0" fontId="17" fillId="8" borderId="27" xfId="0" applyFont="1" applyFill="1" applyBorder="1" applyAlignment="1">
      <alignment horizontal="center" vertical="center"/>
    </xf>
    <xf numFmtId="0" fontId="7" fillId="8" borderId="44" xfId="0" applyFont="1" applyFill="1" applyBorder="1" applyAlignment="1">
      <alignment horizontal="center" vertical="center"/>
    </xf>
    <xf numFmtId="0" fontId="7" fillId="8" borderId="42" xfId="0" applyFont="1" applyFill="1" applyBorder="1" applyAlignment="1">
      <alignment horizontal="center" vertical="center"/>
    </xf>
    <xf numFmtId="0" fontId="7" fillId="8" borderId="45" xfId="0" applyFont="1" applyFill="1" applyBorder="1" applyAlignment="1">
      <alignment horizontal="center" vertical="center"/>
    </xf>
    <xf numFmtId="165" fontId="3" fillId="0" borderId="5" xfId="3" applyFont="1" applyBorder="1" applyAlignment="1">
      <alignment horizontal="center" vertical="center"/>
    </xf>
    <xf numFmtId="165" fontId="3" fillId="0" borderId="6" xfId="3" applyFont="1" applyBorder="1" applyAlignment="1">
      <alignment horizontal="center" vertical="center"/>
    </xf>
    <xf numFmtId="165" fontId="3" fillId="0" borderId="43" xfId="3" applyFont="1" applyBorder="1" applyAlignment="1">
      <alignment horizontal="center" vertical="center"/>
    </xf>
    <xf numFmtId="165" fontId="4" fillId="8" borderId="5" xfId="3" applyFont="1" applyFill="1" applyBorder="1" applyAlignment="1">
      <alignment horizontal="center" vertical="center"/>
    </xf>
    <xf numFmtId="165" fontId="4" fillId="8" borderId="6" xfId="3" applyFont="1" applyFill="1" applyBorder="1" applyAlignment="1">
      <alignment horizontal="center" vertical="center"/>
    </xf>
    <xf numFmtId="165" fontId="4" fillId="8" borderId="7" xfId="3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center" vertical="center"/>
    </xf>
    <xf numFmtId="0" fontId="17" fillId="8" borderId="22" xfId="0" applyFont="1" applyFill="1" applyBorder="1" applyAlignment="1">
      <alignment horizontal="center" vertical="center"/>
    </xf>
    <xf numFmtId="0" fontId="17" fillId="8" borderId="12" xfId="0" applyFont="1" applyFill="1" applyBorder="1" applyAlignment="1">
      <alignment horizontal="center" vertical="center"/>
    </xf>
    <xf numFmtId="0" fontId="17" fillId="10" borderId="19" xfId="0" applyFont="1" applyFill="1" applyBorder="1" applyAlignment="1">
      <alignment horizontal="center"/>
    </xf>
    <xf numFmtId="0" fontId="17" fillId="10" borderId="46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9" fontId="7" fillId="0" borderId="21" xfId="2" applyFont="1" applyBorder="1" applyAlignment="1">
      <alignment horizontal="center"/>
    </xf>
    <xf numFmtId="9" fontId="7" fillId="0" borderId="22" xfId="2" applyFont="1" applyBorder="1" applyAlignment="1">
      <alignment horizontal="center"/>
    </xf>
    <xf numFmtId="9" fontId="7" fillId="0" borderId="12" xfId="2" applyFont="1" applyBorder="1" applyAlignment="1">
      <alignment horizontal="center"/>
    </xf>
    <xf numFmtId="0" fontId="4" fillId="10" borderId="25" xfId="0" applyFont="1" applyFill="1" applyBorder="1" applyAlignment="1">
      <alignment horizontal="center" vertical="center"/>
    </xf>
    <xf numFmtId="0" fontId="4" fillId="10" borderId="26" xfId="0" applyFont="1" applyFill="1" applyBorder="1" applyAlignment="1">
      <alignment horizontal="center" vertical="center"/>
    </xf>
    <xf numFmtId="0" fontId="4" fillId="10" borderId="27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/>
    </xf>
    <xf numFmtId="0" fontId="4" fillId="10" borderId="6" xfId="0" applyFont="1" applyFill="1" applyBorder="1" applyAlignment="1">
      <alignment horizontal="center" vertical="center"/>
    </xf>
    <xf numFmtId="0" fontId="17" fillId="10" borderId="21" xfId="0" applyFont="1" applyFill="1" applyBorder="1" applyAlignment="1">
      <alignment horizontal="center"/>
    </xf>
    <xf numFmtId="0" fontId="17" fillId="10" borderId="22" xfId="0" applyFont="1" applyFill="1" applyBorder="1" applyAlignment="1">
      <alignment horizontal="center"/>
    </xf>
    <xf numFmtId="0" fontId="17" fillId="10" borderId="12" xfId="0" applyFont="1" applyFill="1" applyBorder="1" applyAlignment="1">
      <alignment horizontal="center"/>
    </xf>
  </cellXfs>
  <cellStyles count="4">
    <cellStyle name="Hyperlink" xfId="1" builtinId="8"/>
    <cellStyle name="Normal" xfId="0" builtinId="0"/>
    <cellStyle name="Porcentagem" xfId="2" builtinId="5"/>
    <cellStyle name="Separador de milhares" xfId="3" builtinId="3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4</xdr:row>
      <xdr:rowOff>28575</xdr:rowOff>
    </xdr:from>
    <xdr:to>
      <xdr:col>0</xdr:col>
      <xdr:colOff>1419225</xdr:colOff>
      <xdr:row>6</xdr:row>
      <xdr:rowOff>66675</xdr:rowOff>
    </xdr:to>
    <xdr:pic>
      <xdr:nvPicPr>
        <xdr:cNvPr id="65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3350" y="419100"/>
          <a:ext cx="12858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7</xdr:row>
      <xdr:rowOff>9525</xdr:rowOff>
    </xdr:from>
    <xdr:to>
      <xdr:col>0</xdr:col>
      <xdr:colOff>2124075</xdr:colOff>
      <xdr:row>9</xdr:row>
      <xdr:rowOff>57150</xdr:rowOff>
    </xdr:to>
    <xdr:pic>
      <xdr:nvPicPr>
        <xdr:cNvPr id="65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5725" y="885825"/>
          <a:ext cx="20383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21"/>
  <sheetViews>
    <sheetView tabSelected="1" view="pageBreakPreview" topLeftCell="A253" zoomScaleSheetLayoutView="100" workbookViewId="0">
      <selection activeCell="E276" sqref="E276"/>
    </sheetView>
  </sheetViews>
  <sheetFormatPr defaultRowHeight="12.75"/>
  <cols>
    <col min="1" max="1" width="44.5703125" style="9" customWidth="1"/>
    <col min="2" max="2" width="16" style="9" bestFit="1" customWidth="1"/>
    <col min="3" max="3" width="11.85546875" style="9" customWidth="1"/>
    <col min="4" max="4" width="14.7109375" style="10" customWidth="1"/>
    <col min="5" max="5" width="15.42578125" style="10" customWidth="1"/>
    <col min="6" max="6" width="13.28515625" style="10" customWidth="1"/>
    <col min="7" max="7" width="28.140625" style="10" customWidth="1"/>
    <col min="8" max="8" width="9.140625" style="9"/>
    <col min="9" max="9" width="14.5703125" style="9" customWidth="1"/>
    <col min="10" max="10" width="13.42578125" style="9" customWidth="1"/>
    <col min="11" max="16384" width="9.140625" style="9"/>
  </cols>
  <sheetData>
    <row r="1" spans="1:7" s="8" customFormat="1" ht="18">
      <c r="A1" s="318" t="s">
        <v>226</v>
      </c>
      <c r="B1" s="319"/>
      <c r="C1" s="319"/>
      <c r="D1" s="319"/>
      <c r="E1" s="319"/>
      <c r="F1" s="320"/>
      <c r="G1" s="36"/>
    </row>
    <row r="2" spans="1:7" s="8" customFormat="1" ht="21.75" customHeight="1">
      <c r="A2" s="321" t="s">
        <v>45</v>
      </c>
      <c r="B2" s="322"/>
      <c r="C2" s="322"/>
      <c r="D2" s="322"/>
      <c r="E2" s="322"/>
      <c r="F2" s="323"/>
      <c r="G2" s="36"/>
    </row>
    <row r="3" spans="1:7" s="4" customFormat="1" ht="10.9" customHeight="1" thickBot="1">
      <c r="A3" s="151"/>
      <c r="B3" s="152"/>
      <c r="C3" s="152"/>
      <c r="D3" s="153"/>
      <c r="E3" s="153"/>
      <c r="F3" s="154"/>
      <c r="G3" s="6"/>
    </row>
    <row r="4" spans="1:7" s="4" customFormat="1" ht="15.75" customHeight="1" thickBot="1">
      <c r="A4" s="327" t="s">
        <v>208</v>
      </c>
      <c r="B4" s="328"/>
      <c r="C4" s="328"/>
      <c r="D4" s="328"/>
      <c r="E4" s="328"/>
      <c r="F4" s="329"/>
      <c r="G4" s="6"/>
    </row>
    <row r="5" spans="1:7" s="4" customFormat="1" ht="15.75" customHeight="1">
      <c r="A5" s="64" t="s">
        <v>207</v>
      </c>
      <c r="B5" s="40"/>
      <c r="C5" s="40"/>
      <c r="D5" s="261"/>
      <c r="E5" s="116" t="s">
        <v>40</v>
      </c>
      <c r="F5" s="41" t="s">
        <v>2</v>
      </c>
      <c r="G5" s="6"/>
    </row>
    <row r="6" spans="1:7" s="11" customFormat="1" ht="15.75" customHeight="1">
      <c r="A6" s="126" t="str">
        <f>A43</f>
        <v>1. Mão-de-obra</v>
      </c>
      <c r="B6" s="127"/>
      <c r="C6" s="128"/>
      <c r="D6" s="128"/>
      <c r="E6" s="258">
        <f>+F133</f>
        <v>3449.6096011197501</v>
      </c>
      <c r="F6" s="129">
        <f>IFERROR(E6/$E$26,0)</f>
        <v>0.26350437904530799</v>
      </c>
      <c r="G6" s="44"/>
    </row>
    <row r="7" spans="1:7" s="4" customFormat="1" ht="15.75" customHeight="1">
      <c r="A7" s="49" t="str">
        <f>A45</f>
        <v>1.1. Coletor Turno Dia</v>
      </c>
      <c r="B7" s="45"/>
      <c r="C7" s="47"/>
      <c r="D7" s="47"/>
      <c r="E7" s="259">
        <f>F56</f>
        <v>2402.7555469784829</v>
      </c>
      <c r="F7" s="58">
        <f>IFERROR(E7/$E$26,0)</f>
        <v>0.18353862657348735</v>
      </c>
      <c r="G7" s="6"/>
    </row>
    <row r="8" spans="1:7" s="4" customFormat="1" ht="15.75" customHeight="1">
      <c r="A8" s="49" t="str">
        <f>A58</f>
        <v>1.2. Coletor Turno Noite</v>
      </c>
      <c r="B8" s="45"/>
      <c r="C8" s="47"/>
      <c r="D8" s="47"/>
      <c r="E8" s="259">
        <f>F75</f>
        <v>0</v>
      </c>
      <c r="F8" s="58">
        <f t="shared" ref="F8:F25" si="0">IFERROR(E8/$E$26,0)</f>
        <v>0</v>
      </c>
      <c r="G8" s="6"/>
    </row>
    <row r="9" spans="1:7" s="4" customFormat="1" ht="15.75" customHeight="1">
      <c r="A9" s="49" t="str">
        <f>A77</f>
        <v>1.2. Motorista Turno do Dia</v>
      </c>
      <c r="B9" s="45"/>
      <c r="C9" s="47"/>
      <c r="D9" s="47"/>
      <c r="E9" s="259">
        <f>F90</f>
        <v>775.9426541412671</v>
      </c>
      <c r="F9" s="58">
        <f t="shared" si="0"/>
        <v>5.9271717932340297E-2</v>
      </c>
      <c r="G9" s="6"/>
    </row>
    <row r="10" spans="1:7" s="4" customFormat="1" ht="15.75" customHeight="1">
      <c r="A10" s="49" t="str">
        <f>A92</f>
        <v>1.4. Motorista Turno Noite</v>
      </c>
      <c r="B10" s="45"/>
      <c r="C10" s="47"/>
      <c r="D10" s="47"/>
      <c r="E10" s="259">
        <f>F111</f>
        <v>0</v>
      </c>
      <c r="F10" s="58">
        <f t="shared" si="0"/>
        <v>0</v>
      </c>
      <c r="G10" s="6"/>
    </row>
    <row r="11" spans="1:7" s="4" customFormat="1" ht="15.75" customHeight="1">
      <c r="A11" s="49" t="str">
        <f>A113</f>
        <v>1.5. Vale Transporte</v>
      </c>
      <c r="B11" s="45"/>
      <c r="C11" s="47"/>
      <c r="D11" s="47"/>
      <c r="E11" s="259">
        <f>F119</f>
        <v>0</v>
      </c>
      <c r="F11" s="58">
        <f t="shared" si="0"/>
        <v>0</v>
      </c>
      <c r="G11" s="6"/>
    </row>
    <row r="12" spans="1:7" s="4" customFormat="1" ht="15.75" customHeight="1">
      <c r="A12" s="49" t="str">
        <f>A121</f>
        <v>1.3. Vale-refeição (diário)</v>
      </c>
      <c r="B12" s="45"/>
      <c r="C12" s="47"/>
      <c r="D12" s="47"/>
      <c r="E12" s="259">
        <f>F125</f>
        <v>175.92000000000002</v>
      </c>
      <c r="F12" s="58">
        <f t="shared" si="0"/>
        <v>1.3437952615450582E-2</v>
      </c>
      <c r="G12" s="6"/>
    </row>
    <row r="13" spans="1:7" s="4" customFormat="1" ht="15.75" customHeight="1">
      <c r="A13" s="49" t="str">
        <f>A127</f>
        <v>1.3. Auxílio Alimentação (mensal)</v>
      </c>
      <c r="B13" s="45"/>
      <c r="C13" s="47"/>
      <c r="D13" s="47"/>
      <c r="E13" s="259">
        <f>F131</f>
        <v>94.991399999999999</v>
      </c>
      <c r="F13" s="58">
        <f t="shared" si="0"/>
        <v>7.2560819240297418E-3</v>
      </c>
      <c r="G13" s="6"/>
    </row>
    <row r="14" spans="1:7" s="11" customFormat="1" ht="15.75" customHeight="1">
      <c r="A14" s="316" t="str">
        <f>A135</f>
        <v>2. Uniformes e Equipamentos de Proteção Individual</v>
      </c>
      <c r="B14" s="317"/>
      <c r="C14" s="317"/>
      <c r="D14" s="128"/>
      <c r="E14" s="258">
        <f>+F167</f>
        <v>110.51429999999999</v>
      </c>
      <c r="F14" s="129">
        <f t="shared" si="0"/>
        <v>8.4418254134247944E-3</v>
      </c>
      <c r="G14" s="44"/>
    </row>
    <row r="15" spans="1:7" s="11" customFormat="1" ht="15.75" customHeight="1">
      <c r="A15" s="137" t="str">
        <f>A169</f>
        <v>3. Veículos e Equipamentos</v>
      </c>
      <c r="B15" s="138"/>
      <c r="C15" s="128"/>
      <c r="D15" s="128"/>
      <c r="E15" s="258">
        <f>+F246</f>
        <v>6887.7909288322498</v>
      </c>
      <c r="F15" s="129">
        <f t="shared" si="0"/>
        <v>0.52613578971565544</v>
      </c>
      <c r="G15" s="44"/>
    </row>
    <row r="16" spans="1:7" s="4" customFormat="1" ht="15.75" customHeight="1">
      <c r="A16" s="65" t="str">
        <f>A171</f>
        <v>3.1. Veículo Coletor Com Compactador de até 10 anos</v>
      </c>
      <c r="B16" s="46"/>
      <c r="C16" s="47"/>
      <c r="D16" s="47"/>
      <c r="E16" s="259">
        <f>SUM(E17:E22)</f>
        <v>6887.7909288322498</v>
      </c>
      <c r="F16" s="144">
        <f t="shared" si="0"/>
        <v>0.52613578971565544</v>
      </c>
      <c r="G16" s="6"/>
    </row>
    <row r="17" spans="1:7" s="4" customFormat="1" ht="15.75" customHeight="1">
      <c r="A17" s="65" t="str">
        <f>A173</f>
        <v>3.1.1. Depreciação</v>
      </c>
      <c r="B17" s="46"/>
      <c r="C17" s="47"/>
      <c r="D17" s="47"/>
      <c r="E17" s="259">
        <f>F187</f>
        <v>226.35808170000004</v>
      </c>
      <c r="F17" s="144">
        <f t="shared" si="0"/>
        <v>1.7290752478449817E-2</v>
      </c>
      <c r="G17" s="6"/>
    </row>
    <row r="18" spans="1:7" s="4" customFormat="1" ht="15.75" customHeight="1">
      <c r="A18" s="65" t="str">
        <f>A189</f>
        <v>3.1.2. Remuneração do Capital</v>
      </c>
      <c r="B18" s="46"/>
      <c r="C18" s="47"/>
      <c r="D18" s="47"/>
      <c r="E18" s="259">
        <f>F203</f>
        <v>85.897127132249977</v>
      </c>
      <c r="F18" s="144">
        <f t="shared" si="0"/>
        <v>6.5614002058123552E-3</v>
      </c>
      <c r="G18" s="6"/>
    </row>
    <row r="19" spans="1:7" s="4" customFormat="1" ht="15.75" customHeight="1">
      <c r="A19" s="65" t="str">
        <f>A205</f>
        <v>3.1.3. Impostos e Seguros</v>
      </c>
      <c r="B19" s="46"/>
      <c r="C19" s="47"/>
      <c r="D19" s="47"/>
      <c r="E19" s="259">
        <f>F211</f>
        <v>19.571400000000001</v>
      </c>
      <c r="F19" s="144">
        <f t="shared" si="0"/>
        <v>1.4949951444862978E-3</v>
      </c>
      <c r="G19" s="6"/>
    </row>
    <row r="20" spans="1:7" s="4" customFormat="1" ht="15.75" customHeight="1">
      <c r="A20" s="65" t="str">
        <f>A213</f>
        <v>3.1.4. Consumos</v>
      </c>
      <c r="B20" s="46"/>
      <c r="C20" s="47"/>
      <c r="D20" s="47"/>
      <c r="E20" s="259">
        <f>F229</f>
        <v>4236.75216</v>
      </c>
      <c r="F20" s="144">
        <f t="shared" si="0"/>
        <v>0.32363162101800758</v>
      </c>
      <c r="G20" s="6"/>
    </row>
    <row r="21" spans="1:7" s="4" customFormat="1" ht="15.75" customHeight="1">
      <c r="A21" s="65" t="str">
        <f>A231</f>
        <v>3.1.5. Manutenção</v>
      </c>
      <c r="B21" s="46"/>
      <c r="C21" s="47"/>
      <c r="D21" s="47"/>
      <c r="E21" s="259">
        <f>F234</f>
        <v>1411.92</v>
      </c>
      <c r="F21" s="144">
        <f t="shared" si="0"/>
        <v>0.10785194438839804</v>
      </c>
      <c r="G21" s="6"/>
    </row>
    <row r="22" spans="1:7" s="4" customFormat="1" ht="15.75" customHeight="1">
      <c r="A22" s="65" t="str">
        <f>A236</f>
        <v>3.1.6. Pneus</v>
      </c>
      <c r="B22" s="46"/>
      <c r="C22" s="47"/>
      <c r="D22" s="47"/>
      <c r="E22" s="259">
        <f>F243</f>
        <v>907.29216000000008</v>
      </c>
      <c r="F22" s="144">
        <f t="shared" si="0"/>
        <v>6.930507648050141E-2</v>
      </c>
      <c r="G22" s="6"/>
    </row>
    <row r="23" spans="1:7" s="11" customFormat="1" ht="15.75" customHeight="1">
      <c r="A23" s="137" t="str">
        <f>A248</f>
        <v>4. Ferramentas e Materiais de Consumo</v>
      </c>
      <c r="B23" s="138"/>
      <c r="C23" s="128"/>
      <c r="D23" s="128"/>
      <c r="E23" s="258">
        <f>+F258</f>
        <v>128.33333333333331</v>
      </c>
      <c r="F23" s="129">
        <f t="shared" si="0"/>
        <v>9.8029630077089442E-3</v>
      </c>
      <c r="G23" s="44"/>
    </row>
    <row r="24" spans="1:7" s="11" customFormat="1" ht="15.75" customHeight="1">
      <c r="A24" s="137" t="str">
        <f>A260</f>
        <v>5. Monitoramento da Frota</v>
      </c>
      <c r="B24" s="138"/>
      <c r="C24" s="128"/>
      <c r="D24" s="128"/>
      <c r="E24" s="258">
        <f>+F269</f>
        <v>0</v>
      </c>
      <c r="F24" s="129">
        <f t="shared" si="0"/>
        <v>0</v>
      </c>
      <c r="G24" s="44"/>
    </row>
    <row r="25" spans="1:7" s="11" customFormat="1" ht="15.75" customHeight="1" thickBot="1">
      <c r="A25" s="137" t="str">
        <f>A273</f>
        <v>5. Benefícios e Despesas Indiretas - BDI</v>
      </c>
      <c r="B25" s="138"/>
      <c r="C25" s="128"/>
      <c r="D25" s="128"/>
      <c r="E25" s="260">
        <f>+F279</f>
        <v>2515.0318132292527</v>
      </c>
      <c r="F25" s="129">
        <f t="shared" si="0"/>
        <v>0.19211504281790276</v>
      </c>
      <c r="G25" s="44"/>
    </row>
    <row r="26" spans="1:7" s="4" customFormat="1" ht="15.75" customHeight="1" thickBot="1">
      <c r="A26" s="42" t="s">
        <v>247</v>
      </c>
      <c r="B26" s="43"/>
      <c r="C26" s="26"/>
      <c r="D26" s="26"/>
      <c r="E26" s="115">
        <f>E6+E14+E15+E23+E24+E25</f>
        <v>13091.279976514586</v>
      </c>
      <c r="F26" s="143">
        <f>F6+F14+F15+F23+F24+F25</f>
        <v>1</v>
      </c>
      <c r="G26" s="6"/>
    </row>
    <row r="28" spans="1:7" ht="13.5" thickBot="1"/>
    <row r="29" spans="1:7" s="4" customFormat="1" ht="15" customHeight="1" thickBot="1">
      <c r="A29" s="327" t="s">
        <v>101</v>
      </c>
      <c r="B29" s="328"/>
      <c r="C29" s="328"/>
      <c r="D29" s="328"/>
      <c r="E29" s="329"/>
      <c r="F29" s="10"/>
      <c r="G29" s="6"/>
    </row>
    <row r="30" spans="1:7" s="4" customFormat="1" ht="15" customHeight="1" thickBot="1">
      <c r="A30" s="324" t="s">
        <v>41</v>
      </c>
      <c r="B30" s="325"/>
      <c r="C30" s="325"/>
      <c r="D30" s="326"/>
      <c r="E30" s="48" t="s">
        <v>42</v>
      </c>
      <c r="F30" s="10"/>
      <c r="G30" s="6"/>
    </row>
    <row r="31" spans="1:7" s="4" customFormat="1" ht="15" customHeight="1">
      <c r="A31" s="73" t="str">
        <f>+A45</f>
        <v>1.1. Coletor Turno Dia</v>
      </c>
      <c r="B31" s="74"/>
      <c r="C31" s="74"/>
      <c r="D31" s="75"/>
      <c r="E31" s="76">
        <f>C55</f>
        <v>2</v>
      </c>
      <c r="F31" s="10"/>
      <c r="G31" s="6"/>
    </row>
    <row r="32" spans="1:7" s="4" customFormat="1" ht="15" customHeight="1">
      <c r="A32" s="67" t="str">
        <f>+A58</f>
        <v>1.2. Coletor Turno Noite</v>
      </c>
      <c r="B32" s="66"/>
      <c r="C32" s="66"/>
      <c r="D32" s="77"/>
      <c r="E32" s="70">
        <f>C74</f>
        <v>0</v>
      </c>
      <c r="F32" s="10"/>
      <c r="G32" s="6"/>
    </row>
    <row r="33" spans="1:8" s="4" customFormat="1" ht="15" customHeight="1">
      <c r="A33" s="67" t="str">
        <f>+A77</f>
        <v>1.2. Motorista Turno do Dia</v>
      </c>
      <c r="B33" s="66"/>
      <c r="C33" s="66"/>
      <c r="D33" s="77"/>
      <c r="E33" s="70">
        <v>1</v>
      </c>
      <c r="F33" s="10"/>
      <c r="G33" s="6"/>
      <c r="H33" s="4">
        <v>0.09</v>
      </c>
    </row>
    <row r="34" spans="1:8" s="4" customFormat="1" ht="15" customHeight="1">
      <c r="A34" s="67" t="str">
        <f>+A92</f>
        <v>1.4. Motorista Turno Noite</v>
      </c>
      <c r="B34" s="66"/>
      <c r="C34" s="66"/>
      <c r="D34" s="77"/>
      <c r="E34" s="70">
        <f>C110</f>
        <v>0</v>
      </c>
      <c r="F34" s="10"/>
      <c r="G34" s="6"/>
    </row>
    <row r="35" spans="1:8" s="4" customFormat="1" ht="15" customHeight="1" thickBot="1">
      <c r="A35" s="71" t="s">
        <v>61</v>
      </c>
      <c r="B35" s="72"/>
      <c r="C35" s="72"/>
      <c r="D35" s="78"/>
      <c r="E35" s="79">
        <f>SUM(E31:E34)</f>
        <v>3</v>
      </c>
      <c r="F35" s="10"/>
      <c r="G35" s="6"/>
    </row>
    <row r="36" spans="1:8" s="4" customFormat="1" ht="15" customHeight="1" thickBot="1">
      <c r="A36" s="130"/>
      <c r="B36" s="131"/>
      <c r="C36" s="59"/>
      <c r="D36" s="59"/>
      <c r="E36" s="132"/>
      <c r="F36" s="10"/>
      <c r="G36" s="6"/>
    </row>
    <row r="37" spans="1:8" s="4" customFormat="1" ht="15" customHeight="1">
      <c r="A37" s="314" t="s">
        <v>58</v>
      </c>
      <c r="B37" s="315"/>
      <c r="C37" s="315"/>
      <c r="D37" s="315"/>
      <c r="E37" s="48" t="s">
        <v>42</v>
      </c>
      <c r="F37" s="9"/>
      <c r="G37" s="6"/>
    </row>
    <row r="38" spans="1:8" s="4" customFormat="1" ht="15" customHeight="1" thickBot="1">
      <c r="A38" s="133" t="str">
        <f>+A171</f>
        <v>3.1. Veículo Coletor Com Compactador de até 10 anos</v>
      </c>
      <c r="B38" s="134"/>
      <c r="C38" s="134"/>
      <c r="D38" s="135"/>
      <c r="E38" s="136">
        <v>1</v>
      </c>
      <c r="F38" s="9"/>
      <c r="G38" s="6"/>
    </row>
    <row r="39" spans="1:8" s="4" customFormat="1" ht="15" customHeight="1">
      <c r="A39" s="59"/>
      <c r="B39" s="59"/>
      <c r="C39" s="59"/>
      <c r="D39" s="54"/>
      <c r="E39" s="251"/>
      <c r="F39" s="9"/>
      <c r="G39" s="6"/>
    </row>
    <row r="40" spans="1:8" s="4" customFormat="1" ht="13.5" thickBot="1">
      <c r="A40" s="59"/>
      <c r="B40" s="59"/>
      <c r="C40" s="59"/>
      <c r="D40" s="54"/>
      <c r="E40" s="68"/>
      <c r="F40" s="9"/>
      <c r="G40" s="6"/>
    </row>
    <row r="41" spans="1:8" s="11" customFormat="1" ht="15.75" customHeight="1" thickBot="1">
      <c r="A41" s="262" t="s">
        <v>202</v>
      </c>
      <c r="B41" s="263">
        <v>0.18</v>
      </c>
      <c r="C41" s="35"/>
      <c r="D41" s="34"/>
      <c r="E41" s="156"/>
      <c r="G41" s="44"/>
    </row>
    <row r="42" spans="1:8" s="4" customFormat="1" ht="15.75" customHeight="1">
      <c r="A42" s="59"/>
      <c r="B42" s="59"/>
      <c r="C42" s="59"/>
      <c r="D42" s="54"/>
      <c r="E42" s="68"/>
      <c r="F42" s="9"/>
      <c r="G42" s="6"/>
    </row>
    <row r="43" spans="1:8" ht="13.15" customHeight="1">
      <c r="A43" s="11" t="s">
        <v>49</v>
      </c>
    </row>
    <row r="44" spans="1:8" ht="11.25" customHeight="1"/>
    <row r="45" spans="1:8" ht="13.9" customHeight="1" thickBot="1">
      <c r="A45" s="9" t="s">
        <v>104</v>
      </c>
    </row>
    <row r="46" spans="1:8" ht="13.9" customHeight="1" thickBot="1">
      <c r="A46" s="60" t="s">
        <v>66</v>
      </c>
      <c r="B46" s="61" t="s">
        <v>67</v>
      </c>
      <c r="C46" s="61" t="s">
        <v>42</v>
      </c>
      <c r="D46" s="62" t="s">
        <v>243</v>
      </c>
      <c r="E46" s="62" t="s">
        <v>68</v>
      </c>
      <c r="F46" s="63" t="s">
        <v>69</v>
      </c>
    </row>
    <row r="47" spans="1:8" ht="13.15" customHeight="1">
      <c r="A47" s="13" t="s">
        <v>219</v>
      </c>
      <c r="B47" s="14" t="s">
        <v>8</v>
      </c>
      <c r="C47" s="14">
        <v>2</v>
      </c>
      <c r="D47" s="87">
        <v>1397.27</v>
      </c>
      <c r="E47" s="15">
        <f>C47*D47</f>
        <v>2794.54</v>
      </c>
    </row>
    <row r="48" spans="1:8">
      <c r="A48" s="16" t="s">
        <v>36</v>
      </c>
      <c r="B48" s="17" t="s">
        <v>0</v>
      </c>
      <c r="C48" s="88">
        <v>0</v>
      </c>
      <c r="D48" s="18">
        <f>D47/220*2</f>
        <v>12.702454545454545</v>
      </c>
      <c r="E48" s="18">
        <f>C48*D48</f>
        <v>0</v>
      </c>
      <c r="G48" s="10" t="s">
        <v>257</v>
      </c>
    </row>
    <row r="49" spans="1:7" ht="13.15" customHeight="1">
      <c r="A49" s="16" t="s">
        <v>37</v>
      </c>
      <c r="B49" s="17" t="s">
        <v>0</v>
      </c>
      <c r="C49" s="88">
        <v>0</v>
      </c>
      <c r="D49" s="18">
        <f>D47/220*1.5</f>
        <v>9.5268409090909092</v>
      </c>
      <c r="E49" s="18">
        <f>C49*D49</f>
        <v>0</v>
      </c>
      <c r="G49" s="10" t="s">
        <v>259</v>
      </c>
    </row>
    <row r="50" spans="1:7" ht="13.15" customHeight="1">
      <c r="A50" s="16" t="s">
        <v>223</v>
      </c>
      <c r="B50" s="17" t="s">
        <v>35</v>
      </c>
      <c r="D50" s="18">
        <f>63/302*(SUM(E48:E49))</f>
        <v>0</v>
      </c>
      <c r="E50" s="18">
        <f>D50</f>
        <v>0</v>
      </c>
      <c r="G50" s="10" t="s">
        <v>222</v>
      </c>
    </row>
    <row r="51" spans="1:7">
      <c r="A51" s="16" t="s">
        <v>1</v>
      </c>
      <c r="B51" s="17" t="s">
        <v>2</v>
      </c>
      <c r="C51" s="17">
        <v>40</v>
      </c>
      <c r="D51" s="83">
        <f>SUM(E47:E50)</f>
        <v>2794.54</v>
      </c>
      <c r="E51" s="18">
        <f>C51*D51/100</f>
        <v>1117.816</v>
      </c>
    </row>
    <row r="52" spans="1:7">
      <c r="A52" s="117" t="s">
        <v>3</v>
      </c>
      <c r="B52" s="118"/>
      <c r="C52" s="118"/>
      <c r="D52" s="119"/>
      <c r="E52" s="120">
        <f>SUM(E47:E51)</f>
        <v>3912.3559999999998</v>
      </c>
    </row>
    <row r="53" spans="1:7">
      <c r="A53" s="16" t="s">
        <v>4</v>
      </c>
      <c r="B53" s="17" t="s">
        <v>2</v>
      </c>
      <c r="C53" s="141">
        <f>'2.Encargos Sociais'!$C$37*100</f>
        <v>70.595951999999997</v>
      </c>
      <c r="D53" s="18">
        <f>E52</f>
        <v>3912.3559999999998</v>
      </c>
      <c r="E53" s="18">
        <f>D53*C53/100</f>
        <v>2761.9649638291198</v>
      </c>
    </row>
    <row r="54" spans="1:7">
      <c r="A54" s="117" t="s">
        <v>76</v>
      </c>
      <c r="B54" s="118"/>
      <c r="C54" s="118"/>
      <c r="D54" s="119"/>
      <c r="E54" s="120">
        <f>E52+E53</f>
        <v>6674.3209638291191</v>
      </c>
    </row>
    <row r="55" spans="1:7" ht="13.5" thickBot="1">
      <c r="A55" s="16" t="s">
        <v>5</v>
      </c>
      <c r="B55" s="17" t="s">
        <v>6</v>
      </c>
      <c r="C55" s="86">
        <v>2</v>
      </c>
      <c r="D55" s="18">
        <f>E54</f>
        <v>6674.3209638291191</v>
      </c>
      <c r="E55" s="18">
        <f>C55*D55</f>
        <v>13348.641927658238</v>
      </c>
      <c r="G55" s="6"/>
    </row>
    <row r="56" spans="1:7" ht="13.9" customHeight="1" thickBot="1">
      <c r="D56" s="124" t="s">
        <v>201</v>
      </c>
      <c r="E56" s="50">
        <f>$B$41</f>
        <v>0.18</v>
      </c>
      <c r="F56" s="125">
        <f>E55*E56</f>
        <v>2402.7555469784829</v>
      </c>
      <c r="G56" s="6"/>
    </row>
    <row r="57" spans="1:7" ht="11.25" customHeight="1"/>
    <row r="58" spans="1:7" ht="13.5" hidden="1" thickBot="1">
      <c r="A58" s="9" t="s">
        <v>94</v>
      </c>
    </row>
    <row r="59" spans="1:7" ht="13.5" hidden="1" thickBot="1">
      <c r="A59" s="60" t="s">
        <v>66</v>
      </c>
      <c r="B59" s="61" t="s">
        <v>67</v>
      </c>
      <c r="C59" s="61" t="s">
        <v>42</v>
      </c>
      <c r="D59" s="62" t="s">
        <v>243</v>
      </c>
      <c r="E59" s="62" t="s">
        <v>68</v>
      </c>
      <c r="F59" s="63" t="s">
        <v>69</v>
      </c>
    </row>
    <row r="60" spans="1:7" hidden="1">
      <c r="A60" s="13" t="s">
        <v>219</v>
      </c>
      <c r="B60" s="14" t="s">
        <v>8</v>
      </c>
      <c r="C60" s="14">
        <v>1</v>
      </c>
      <c r="D60" s="15">
        <f>D47</f>
        <v>1397.27</v>
      </c>
      <c r="E60" s="15">
        <f>C60*D60</f>
        <v>1397.27</v>
      </c>
    </row>
    <row r="61" spans="1:7" hidden="1">
      <c r="A61" s="16" t="s">
        <v>7</v>
      </c>
      <c r="B61" s="17" t="s">
        <v>102</v>
      </c>
      <c r="C61" s="88">
        <v>0</v>
      </c>
      <c r="D61" s="18"/>
      <c r="E61" s="18"/>
    </row>
    <row r="62" spans="1:7" hidden="1">
      <c r="A62" s="16"/>
      <c r="B62" s="17" t="s">
        <v>106</v>
      </c>
      <c r="C62" s="121">
        <f>C61*8/7</f>
        <v>0</v>
      </c>
      <c r="D62" s="18">
        <f>D60/220*0.2</f>
        <v>1.2702454545454547</v>
      </c>
      <c r="E62" s="18">
        <f>C62*D62</f>
        <v>0</v>
      </c>
    </row>
    <row r="63" spans="1:7" hidden="1">
      <c r="A63" s="16" t="s">
        <v>36</v>
      </c>
      <c r="B63" s="17" t="s">
        <v>0</v>
      </c>
      <c r="C63" s="88"/>
      <c r="D63" s="18">
        <f>D60/220*2</f>
        <v>12.702454545454545</v>
      </c>
      <c r="E63" s="18">
        <f>C63*D63</f>
        <v>0</v>
      </c>
      <c r="G63" s="10" t="s">
        <v>257</v>
      </c>
    </row>
    <row r="64" spans="1:7" hidden="1">
      <c r="A64" s="16" t="s">
        <v>103</v>
      </c>
      <c r="B64" s="17" t="s">
        <v>102</v>
      </c>
      <c r="C64" s="88"/>
      <c r="D64" s="18"/>
      <c r="E64" s="18"/>
      <c r="G64" s="10" t="s">
        <v>258</v>
      </c>
    </row>
    <row r="65" spans="1:7" hidden="1">
      <c r="A65" s="16"/>
      <c r="B65" s="17" t="s">
        <v>106</v>
      </c>
      <c r="C65" s="121">
        <f>C64*8/7</f>
        <v>0</v>
      </c>
      <c r="D65" s="18">
        <f>D60/220*2*1.2</f>
        <v>15.242945454545453</v>
      </c>
      <c r="E65" s="18">
        <f>C65*D65</f>
        <v>0</v>
      </c>
      <c r="G65" s="10" t="s">
        <v>258</v>
      </c>
    </row>
    <row r="66" spans="1:7" hidden="1">
      <c r="A66" s="16" t="s">
        <v>37</v>
      </c>
      <c r="B66" s="17" t="s">
        <v>0</v>
      </c>
      <c r="C66" s="88"/>
      <c r="D66" s="18">
        <f>D60/220*1.5</f>
        <v>9.5268409090909092</v>
      </c>
      <c r="E66" s="18">
        <f>C66*D66</f>
        <v>0</v>
      </c>
      <c r="G66" s="10" t="s">
        <v>259</v>
      </c>
    </row>
    <row r="67" spans="1:7" hidden="1">
      <c r="A67" s="16" t="s">
        <v>221</v>
      </c>
      <c r="B67" s="17" t="s">
        <v>102</v>
      </c>
      <c r="C67" s="88"/>
      <c r="D67" s="18"/>
      <c r="E67" s="18"/>
      <c r="G67" s="10" t="s">
        <v>260</v>
      </c>
    </row>
    <row r="68" spans="1:7" hidden="1">
      <c r="A68" s="16"/>
      <c r="B68" s="17" t="s">
        <v>106</v>
      </c>
      <c r="C68" s="18">
        <f>C67*8/7</f>
        <v>0</v>
      </c>
      <c r="D68" s="18">
        <f>D60/220*1.5*1.2</f>
        <v>11.43220909090909</v>
      </c>
      <c r="E68" s="18">
        <f>C68*D68</f>
        <v>0</v>
      </c>
      <c r="G68" s="10" t="s">
        <v>260</v>
      </c>
    </row>
    <row r="69" spans="1:7" ht="13.15" hidden="1" customHeight="1">
      <c r="A69" s="16" t="s">
        <v>223</v>
      </c>
      <c r="B69" s="17" t="s">
        <v>35</v>
      </c>
      <c r="D69" s="18">
        <f>63/302*(SUM(E63:E68))</f>
        <v>0</v>
      </c>
      <c r="E69" s="18">
        <f>D69</f>
        <v>0</v>
      </c>
      <c r="G69" s="10" t="s">
        <v>222</v>
      </c>
    </row>
    <row r="70" spans="1:7" hidden="1">
      <c r="A70" s="16" t="s">
        <v>1</v>
      </c>
      <c r="B70" s="17" t="s">
        <v>2</v>
      </c>
      <c r="C70" s="17">
        <f>+C51</f>
        <v>40</v>
      </c>
      <c r="D70" s="83">
        <f>SUM(E60:E69)</f>
        <v>1397.27</v>
      </c>
      <c r="E70" s="18">
        <f>C70*D70/100</f>
        <v>558.90800000000002</v>
      </c>
    </row>
    <row r="71" spans="1:7" hidden="1">
      <c r="A71" s="117" t="s">
        <v>3</v>
      </c>
      <c r="B71" s="118"/>
      <c r="C71" s="118"/>
      <c r="D71" s="119"/>
      <c r="E71" s="120">
        <f>SUM(E60:E70)</f>
        <v>1956.1779999999999</v>
      </c>
    </row>
    <row r="72" spans="1:7" hidden="1">
      <c r="A72" s="16" t="s">
        <v>4</v>
      </c>
      <c r="B72" s="17" t="s">
        <v>2</v>
      </c>
      <c r="C72" s="141">
        <f>'2.Encargos Sociais'!$C$37*100</f>
        <v>70.595951999999997</v>
      </c>
      <c r="D72" s="18">
        <f>E71</f>
        <v>1956.1779999999999</v>
      </c>
      <c r="E72" s="18">
        <f>D72*C72/100</f>
        <v>1380.9824819145599</v>
      </c>
    </row>
    <row r="73" spans="1:7" hidden="1">
      <c r="A73" s="117" t="s">
        <v>76</v>
      </c>
      <c r="B73" s="118"/>
      <c r="C73" s="118"/>
      <c r="D73" s="119"/>
      <c r="E73" s="120">
        <f>E71+E72</f>
        <v>3337.1604819145596</v>
      </c>
    </row>
    <row r="74" spans="1:7" ht="13.5" hidden="1" thickBot="1">
      <c r="A74" s="16" t="s">
        <v>5</v>
      </c>
      <c r="B74" s="17" t="s">
        <v>6</v>
      </c>
      <c r="C74" s="86"/>
      <c r="D74" s="18">
        <f>E73</f>
        <v>3337.1604819145596</v>
      </c>
      <c r="E74" s="18">
        <f>C74*D74</f>
        <v>0</v>
      </c>
    </row>
    <row r="75" spans="1:7" ht="13.5" hidden="1" thickBot="1">
      <c r="D75" s="124" t="s">
        <v>201</v>
      </c>
      <c r="E75" s="50">
        <f>$B$41</f>
        <v>0.18</v>
      </c>
      <c r="F75" s="125">
        <f>E74*E75</f>
        <v>0</v>
      </c>
    </row>
    <row r="76" spans="1:7" ht="11.25" customHeight="1"/>
    <row r="77" spans="1:7" ht="13.5" thickBot="1">
      <c r="A77" s="7" t="s">
        <v>311</v>
      </c>
    </row>
    <row r="78" spans="1:7" s="12" customFormat="1" ht="13.15" customHeight="1" thickBot="1">
      <c r="A78" s="60" t="s">
        <v>66</v>
      </c>
      <c r="B78" s="61" t="s">
        <v>67</v>
      </c>
      <c r="C78" s="61" t="s">
        <v>42</v>
      </c>
      <c r="D78" s="62" t="s">
        <v>243</v>
      </c>
      <c r="E78" s="62" t="s">
        <v>68</v>
      </c>
      <c r="F78" s="63" t="s">
        <v>69</v>
      </c>
      <c r="G78" s="10"/>
    </row>
    <row r="79" spans="1:7">
      <c r="A79" s="307" t="s">
        <v>296</v>
      </c>
      <c r="B79" s="14" t="s">
        <v>8</v>
      </c>
      <c r="C79" s="14">
        <v>1</v>
      </c>
      <c r="D79" s="87">
        <v>1804.93</v>
      </c>
      <c r="E79" s="15">
        <f>C79*D79</f>
        <v>1804.93</v>
      </c>
    </row>
    <row r="80" spans="1:7">
      <c r="A80" s="307" t="s">
        <v>297</v>
      </c>
      <c r="B80" s="14" t="s">
        <v>8</v>
      </c>
      <c r="C80" s="14">
        <v>1</v>
      </c>
      <c r="D80" s="87">
        <v>1100</v>
      </c>
      <c r="E80" s="15"/>
    </row>
    <row r="81" spans="1:7">
      <c r="A81" s="16" t="s">
        <v>36</v>
      </c>
      <c r="B81" s="17" t="s">
        <v>0</v>
      </c>
      <c r="C81" s="88">
        <v>0</v>
      </c>
      <c r="D81" s="18">
        <f>D79/220*2</f>
        <v>16.408454545454546</v>
      </c>
      <c r="E81" s="18">
        <f>C81*D81</f>
        <v>0</v>
      </c>
      <c r="G81" s="10" t="s">
        <v>257</v>
      </c>
    </row>
    <row r="82" spans="1:7">
      <c r="A82" s="16" t="s">
        <v>37</v>
      </c>
      <c r="B82" s="17" t="s">
        <v>0</v>
      </c>
      <c r="C82" s="88">
        <v>0</v>
      </c>
      <c r="D82" s="18">
        <f>D79/220*1.5</f>
        <v>12.30634090909091</v>
      </c>
      <c r="E82" s="18">
        <f>C82*D82</f>
        <v>0</v>
      </c>
      <c r="G82" s="10" t="s">
        <v>259</v>
      </c>
    </row>
    <row r="83" spans="1:7" ht="13.15" customHeight="1">
      <c r="A83" s="16" t="s">
        <v>223</v>
      </c>
      <c r="B83" s="17" t="s">
        <v>35</v>
      </c>
      <c r="D83" s="18">
        <f>63/302*(SUM(E81:E82))</f>
        <v>0</v>
      </c>
      <c r="E83" s="18">
        <f>D83</f>
        <v>0</v>
      </c>
      <c r="G83" s="10" t="s">
        <v>222</v>
      </c>
    </row>
    <row r="84" spans="1:7">
      <c r="A84" s="16" t="s">
        <v>220</v>
      </c>
      <c r="B84" s="17"/>
      <c r="C84" s="90">
        <v>2</v>
      </c>
      <c r="D84" s="18"/>
      <c r="E84" s="18"/>
    </row>
    <row r="85" spans="1:7">
      <c r="A85" s="16" t="s">
        <v>1</v>
      </c>
      <c r="B85" s="17" t="s">
        <v>2</v>
      </c>
      <c r="C85" s="86">
        <v>40</v>
      </c>
      <c r="D85" s="83">
        <f>IF(C84=2,SUM(E79:E83),IF(C84=1,(SUM(E79:E83))*D80/D79,0))</f>
        <v>1804.93</v>
      </c>
      <c r="E85" s="18">
        <f>C85*D85/100</f>
        <v>721.97199999999998</v>
      </c>
    </row>
    <row r="86" spans="1:7" s="11" customFormat="1">
      <c r="A86" s="103" t="s">
        <v>3</v>
      </c>
      <c r="B86" s="118"/>
      <c r="C86" s="118"/>
      <c r="D86" s="119"/>
      <c r="E86" s="105">
        <f>SUM(E79:E85)</f>
        <v>2526.902</v>
      </c>
      <c r="F86" s="44"/>
      <c r="G86" s="44"/>
    </row>
    <row r="87" spans="1:7">
      <c r="A87" s="16" t="s">
        <v>4</v>
      </c>
      <c r="B87" s="17" t="s">
        <v>2</v>
      </c>
      <c r="C87" s="141">
        <f>'2.Encargos Sociais'!$C$37*100</f>
        <v>70.595951999999997</v>
      </c>
      <c r="D87" s="18">
        <f>E86</f>
        <v>2526.902</v>
      </c>
      <c r="E87" s="18">
        <f>D87*C87/100</f>
        <v>1783.89052300704</v>
      </c>
    </row>
    <row r="88" spans="1:7" s="11" customFormat="1">
      <c r="A88" s="103" t="s">
        <v>261</v>
      </c>
      <c r="B88" s="269"/>
      <c r="C88" s="269"/>
      <c r="D88" s="270"/>
      <c r="E88" s="105">
        <f>E86+E87</f>
        <v>4310.7925230070396</v>
      </c>
      <c r="F88" s="44"/>
      <c r="G88" s="44"/>
    </row>
    <row r="89" spans="1:7" ht="13.5" thickBot="1">
      <c r="A89" s="16" t="s">
        <v>5</v>
      </c>
      <c r="B89" s="17" t="s">
        <v>6</v>
      </c>
      <c r="C89" s="86">
        <v>1</v>
      </c>
      <c r="D89" s="18">
        <f>E88</f>
        <v>4310.7925230070396</v>
      </c>
      <c r="E89" s="18">
        <f>C89*D89</f>
        <v>4310.7925230070396</v>
      </c>
    </row>
    <row r="90" spans="1:7" ht="13.5" thickBot="1">
      <c r="D90" s="124" t="s">
        <v>201</v>
      </c>
      <c r="E90" s="50">
        <f>$B$41</f>
        <v>0.18</v>
      </c>
      <c r="F90" s="125">
        <f>E89*E90</f>
        <v>775.9426541412671</v>
      </c>
    </row>
    <row r="91" spans="1:7" ht="11.25" customHeight="1"/>
    <row r="92" spans="1:7" ht="13.5" hidden="1" thickBot="1">
      <c r="A92" s="9" t="s">
        <v>105</v>
      </c>
    </row>
    <row r="93" spans="1:7" ht="13.5" hidden="1" thickBot="1">
      <c r="A93" s="60" t="s">
        <v>66</v>
      </c>
      <c r="B93" s="61" t="s">
        <v>67</v>
      </c>
      <c r="C93" s="61" t="s">
        <v>42</v>
      </c>
      <c r="D93" s="62" t="s">
        <v>243</v>
      </c>
      <c r="E93" s="62" t="s">
        <v>68</v>
      </c>
      <c r="F93" s="63" t="s">
        <v>69</v>
      </c>
    </row>
    <row r="94" spans="1:7" hidden="1">
      <c r="A94" s="307" t="s">
        <v>296</v>
      </c>
      <c r="B94" s="14" t="s">
        <v>8</v>
      </c>
      <c r="C94" s="14">
        <v>1</v>
      </c>
      <c r="D94" s="15">
        <f>D79</f>
        <v>1804.93</v>
      </c>
      <c r="E94" s="15">
        <f>C94*D94</f>
        <v>1804.93</v>
      </c>
    </row>
    <row r="95" spans="1:7" hidden="1">
      <c r="A95" s="307" t="s">
        <v>297</v>
      </c>
      <c r="B95" s="14" t="s">
        <v>8</v>
      </c>
      <c r="C95" s="14">
        <v>1</v>
      </c>
      <c r="D95" s="18">
        <f>D80</f>
        <v>1100</v>
      </c>
      <c r="E95" s="18"/>
    </row>
    <row r="96" spans="1:7" hidden="1">
      <c r="A96" s="16" t="s">
        <v>7</v>
      </c>
      <c r="B96" s="17" t="s">
        <v>102</v>
      </c>
      <c r="C96" s="88"/>
      <c r="D96" s="16"/>
      <c r="E96" s="16"/>
    </row>
    <row r="97" spans="1:7" hidden="1">
      <c r="A97" s="16"/>
      <c r="B97" s="17" t="s">
        <v>106</v>
      </c>
      <c r="C97" s="18">
        <f>C96*8/7</f>
        <v>0</v>
      </c>
      <c r="D97" s="18">
        <f>D94/220*0.2</f>
        <v>1.6408454545454547</v>
      </c>
      <c r="E97" s="18">
        <f>C97*D97</f>
        <v>0</v>
      </c>
    </row>
    <row r="98" spans="1:7" hidden="1">
      <c r="A98" s="16" t="s">
        <v>36</v>
      </c>
      <c r="B98" s="17" t="s">
        <v>0</v>
      </c>
      <c r="C98" s="88"/>
      <c r="D98" s="18">
        <f>D94/220*2</f>
        <v>16.408454545454546</v>
      </c>
      <c r="E98" s="18">
        <f>C98*D98</f>
        <v>0</v>
      </c>
      <c r="G98" s="10" t="s">
        <v>257</v>
      </c>
    </row>
    <row r="99" spans="1:7" hidden="1">
      <c r="A99" s="16" t="s">
        <v>103</v>
      </c>
      <c r="B99" s="17" t="s">
        <v>102</v>
      </c>
      <c r="C99" s="88"/>
      <c r="D99" s="18"/>
      <c r="E99" s="18"/>
      <c r="G99" s="10" t="s">
        <v>258</v>
      </c>
    </row>
    <row r="100" spans="1:7" hidden="1">
      <c r="A100" s="16"/>
      <c r="B100" s="17" t="s">
        <v>106</v>
      </c>
      <c r="C100" s="18">
        <f>C99*8/7</f>
        <v>0</v>
      </c>
      <c r="D100" s="18">
        <f>D94/220*2*1.2</f>
        <v>19.690145454545455</v>
      </c>
      <c r="E100" s="18">
        <f>C100*D100</f>
        <v>0</v>
      </c>
      <c r="G100" s="10" t="s">
        <v>258</v>
      </c>
    </row>
    <row r="101" spans="1:7" hidden="1">
      <c r="A101" s="16" t="s">
        <v>37</v>
      </c>
      <c r="B101" s="17" t="s">
        <v>0</v>
      </c>
      <c r="C101" s="88"/>
      <c r="D101" s="18">
        <f>D94/220*1.5</f>
        <v>12.30634090909091</v>
      </c>
      <c r="E101" s="18">
        <f>C101*D101</f>
        <v>0</v>
      </c>
      <c r="G101" s="10" t="s">
        <v>259</v>
      </c>
    </row>
    <row r="102" spans="1:7" hidden="1">
      <c r="A102" s="16" t="s">
        <v>221</v>
      </c>
      <c r="B102" s="17" t="s">
        <v>102</v>
      </c>
      <c r="C102" s="88"/>
      <c r="D102" s="18"/>
      <c r="E102" s="18"/>
      <c r="G102" s="10" t="s">
        <v>260</v>
      </c>
    </row>
    <row r="103" spans="1:7" hidden="1">
      <c r="A103" s="16"/>
      <c r="B103" s="17" t="s">
        <v>106</v>
      </c>
      <c r="C103" s="18">
        <f>C102*8/7</f>
        <v>0</v>
      </c>
      <c r="D103" s="18">
        <f>D94/220*1.5*1.2</f>
        <v>14.76760909090909</v>
      </c>
      <c r="E103" s="18">
        <f>C103*D103</f>
        <v>0</v>
      </c>
      <c r="G103" s="10" t="s">
        <v>260</v>
      </c>
    </row>
    <row r="104" spans="1:7" ht="13.15" hidden="1" customHeight="1">
      <c r="A104" s="16" t="s">
        <v>223</v>
      </c>
      <c r="B104" s="17" t="s">
        <v>35</v>
      </c>
      <c r="D104" s="18">
        <f>63/302*(SUM(E98:E103))</f>
        <v>0</v>
      </c>
      <c r="E104" s="18">
        <f>D104</f>
        <v>0</v>
      </c>
      <c r="G104" s="10" t="s">
        <v>222</v>
      </c>
    </row>
    <row r="105" spans="1:7" hidden="1">
      <c r="A105" s="16" t="s">
        <v>220</v>
      </c>
      <c r="B105" s="17"/>
      <c r="C105" s="90"/>
      <c r="D105" s="18"/>
      <c r="E105" s="18"/>
    </row>
    <row r="106" spans="1:7" hidden="1">
      <c r="A106" s="16" t="s">
        <v>1</v>
      </c>
      <c r="B106" s="17" t="s">
        <v>2</v>
      </c>
      <c r="C106" s="83">
        <f>+C85</f>
        <v>40</v>
      </c>
      <c r="D106" s="83">
        <f>IF(C105=2,SUM(E94:E104),IF(C105=1,SUM(E94:E104)*D95/D94,0))</f>
        <v>0</v>
      </c>
      <c r="E106" s="18">
        <f>C106*D106/100</f>
        <v>0</v>
      </c>
    </row>
    <row r="107" spans="1:7" s="11" customFormat="1" hidden="1">
      <c r="A107" s="117" t="s">
        <v>3</v>
      </c>
      <c r="B107" s="118"/>
      <c r="C107" s="118"/>
      <c r="D107" s="119"/>
      <c r="E107" s="120">
        <f>SUM(E94:E106)</f>
        <v>1804.93</v>
      </c>
      <c r="F107" s="44"/>
      <c r="G107" s="44"/>
    </row>
    <row r="108" spans="1:7" hidden="1">
      <c r="A108" s="16" t="s">
        <v>4</v>
      </c>
      <c r="B108" s="17" t="s">
        <v>2</v>
      </c>
      <c r="C108" s="141">
        <f>'2.Encargos Sociais'!$C$37*100</f>
        <v>70.595951999999997</v>
      </c>
      <c r="D108" s="18">
        <f>E107</f>
        <v>1804.93</v>
      </c>
      <c r="E108" s="18">
        <f>D108*C108/100</f>
        <v>1274.2075164335999</v>
      </c>
    </row>
    <row r="109" spans="1:7" s="11" customFormat="1" hidden="1">
      <c r="A109" s="117" t="s">
        <v>261</v>
      </c>
      <c r="B109" s="118"/>
      <c r="C109" s="118"/>
      <c r="D109" s="119"/>
      <c r="E109" s="120">
        <f>E107+E108</f>
        <v>3079.1375164336</v>
      </c>
      <c r="F109" s="44"/>
      <c r="G109" s="44"/>
    </row>
    <row r="110" spans="1:7" ht="13.5" hidden="1" thickBot="1">
      <c r="A110" s="16" t="s">
        <v>5</v>
      </c>
      <c r="B110" s="17" t="s">
        <v>6</v>
      </c>
      <c r="C110" s="86"/>
      <c r="D110" s="18">
        <f>E109</f>
        <v>3079.1375164336</v>
      </c>
      <c r="E110" s="18">
        <f>C110*D110</f>
        <v>0</v>
      </c>
    </row>
    <row r="111" spans="1:7" ht="13.5" hidden="1" thickBot="1">
      <c r="D111" s="124" t="s">
        <v>201</v>
      </c>
      <c r="E111" s="50">
        <f>$B$41</f>
        <v>0.18</v>
      </c>
      <c r="F111" s="125">
        <f>E110*E111</f>
        <v>0</v>
      </c>
    </row>
    <row r="112" spans="1:7" ht="11.25" hidden="1" customHeight="1">
      <c r="G112" s="9"/>
    </row>
    <row r="113" spans="1:7" ht="13.5" hidden="1" thickBot="1">
      <c r="A113" s="9" t="s">
        <v>107</v>
      </c>
      <c r="B113" s="93"/>
      <c r="D113" s="9"/>
      <c r="E113" s="9"/>
      <c r="G113" s="9"/>
    </row>
    <row r="114" spans="1:7" ht="13.5" hidden="1" thickBot="1">
      <c r="A114" s="60" t="s">
        <v>66</v>
      </c>
      <c r="B114" s="61" t="s">
        <v>67</v>
      </c>
      <c r="C114" s="61" t="s">
        <v>42</v>
      </c>
      <c r="D114" s="62" t="s">
        <v>243</v>
      </c>
      <c r="E114" s="62" t="s">
        <v>68</v>
      </c>
      <c r="F114" s="63" t="s">
        <v>69</v>
      </c>
      <c r="G114" s="9"/>
    </row>
    <row r="115" spans="1:7" hidden="1">
      <c r="A115" s="16" t="s">
        <v>95</v>
      </c>
      <c r="B115" s="17" t="s">
        <v>35</v>
      </c>
      <c r="C115" s="94">
        <v>1</v>
      </c>
      <c r="D115" s="92"/>
      <c r="E115" s="18"/>
      <c r="G115" s="9"/>
    </row>
    <row r="116" spans="1:7" hidden="1">
      <c r="A116" s="16" t="s">
        <v>96</v>
      </c>
      <c r="B116" s="17" t="s">
        <v>97</v>
      </c>
      <c r="C116" s="91"/>
      <c r="D116" s="18"/>
      <c r="E116" s="18"/>
      <c r="G116" s="9"/>
    </row>
    <row r="117" spans="1:7" hidden="1">
      <c r="A117" s="16" t="s">
        <v>77</v>
      </c>
      <c r="B117" s="17" t="s">
        <v>9</v>
      </c>
      <c r="C117" s="37">
        <f>$C$116*2*(C55+C74)</f>
        <v>0</v>
      </c>
      <c r="D117" s="15" t="str">
        <f>IFERROR((($C$116*2*$D$115)-(E47*0.06*C116/26))/($C$116*2),"-")</f>
        <v>-</v>
      </c>
      <c r="E117" s="18" t="str">
        <f>IFERROR(C117*D117,"-")</f>
        <v>-</v>
      </c>
      <c r="G117" s="9"/>
    </row>
    <row r="118" spans="1:7" ht="13.5" hidden="1" thickBot="1">
      <c r="A118" s="13" t="s">
        <v>46</v>
      </c>
      <c r="B118" s="14" t="s">
        <v>9</v>
      </c>
      <c r="C118" s="37">
        <f>$C$116*2*(C89+C110)</f>
        <v>0</v>
      </c>
      <c r="D118" s="15" t="str">
        <f>IFERROR((($C$116*2*$D$115)-(E79*0.06*C116/26))/($C$116*2),"-")</f>
        <v>-</v>
      </c>
      <c r="E118" s="15" t="str">
        <f>IFERROR(C118*D118,"-")</f>
        <v>-</v>
      </c>
      <c r="G118" s="9"/>
    </row>
    <row r="119" spans="1:7" ht="13.5" hidden="1" thickBot="1">
      <c r="F119" s="22">
        <f>SUM(E117:E118)</f>
        <v>0</v>
      </c>
      <c r="G119" s="9"/>
    </row>
    <row r="120" spans="1:7" ht="11.25" hidden="1" customHeight="1" thickBot="1">
      <c r="G120" s="9"/>
    </row>
    <row r="121" spans="1:7" ht="13.5" hidden="1" thickBot="1">
      <c r="A121" s="7" t="s">
        <v>312</v>
      </c>
      <c r="F121" s="23"/>
      <c r="G121" s="9"/>
    </row>
    <row r="122" spans="1:7" ht="13.5" hidden="1" thickBot="1">
      <c r="A122" s="60" t="s">
        <v>66</v>
      </c>
      <c r="B122" s="61" t="s">
        <v>67</v>
      </c>
      <c r="C122" s="61" t="s">
        <v>42</v>
      </c>
      <c r="D122" s="62" t="s">
        <v>243</v>
      </c>
      <c r="E122" s="62" t="s">
        <v>68</v>
      </c>
      <c r="F122" s="63" t="s">
        <v>69</v>
      </c>
      <c r="G122" s="9"/>
    </row>
    <row r="123" spans="1:7" hidden="1">
      <c r="A123" s="16" t="str">
        <f>+A117</f>
        <v>Coletor</v>
      </c>
      <c r="B123" s="17" t="s">
        <v>10</v>
      </c>
      <c r="C123" s="102">
        <v>8</v>
      </c>
      <c r="D123" s="95">
        <v>18.2</v>
      </c>
      <c r="E123" s="50">
        <v>128</v>
      </c>
      <c r="F123" s="23"/>
      <c r="G123" s="9"/>
    </row>
    <row r="124" spans="1:7" ht="13.5" hidden="1" thickBot="1">
      <c r="A124" s="16" t="str">
        <f>+A118</f>
        <v>Motorista</v>
      </c>
      <c r="B124" s="17" t="s">
        <v>10</v>
      </c>
      <c r="C124" s="102">
        <v>4</v>
      </c>
      <c r="D124" s="95">
        <v>11.98</v>
      </c>
      <c r="E124" s="50">
        <f>C124*D124</f>
        <v>47.92</v>
      </c>
      <c r="F124" s="23"/>
      <c r="G124" s="9"/>
    </row>
    <row r="125" spans="1:7" ht="13.5" hidden="1" thickBot="1">
      <c r="F125" s="22">
        <f>SUM(E123:E124)</f>
        <v>175.92000000000002</v>
      </c>
      <c r="G125" s="9"/>
    </row>
    <row r="126" spans="1:7">
      <c r="G126" s="9"/>
    </row>
    <row r="127" spans="1:7" ht="13.5" thickBot="1">
      <c r="A127" s="7" t="s">
        <v>313</v>
      </c>
      <c r="F127" s="23"/>
      <c r="G127" s="9"/>
    </row>
    <row r="128" spans="1:7" ht="13.5" thickBot="1">
      <c r="A128" s="60" t="s">
        <v>66</v>
      </c>
      <c r="B128" s="61" t="s">
        <v>67</v>
      </c>
      <c r="C128" s="61" t="s">
        <v>42</v>
      </c>
      <c r="D128" s="62" t="s">
        <v>243</v>
      </c>
      <c r="E128" s="62" t="s">
        <v>68</v>
      </c>
      <c r="F128" s="63" t="s">
        <v>69</v>
      </c>
      <c r="G128" s="9"/>
    </row>
    <row r="129" spans="1:7">
      <c r="A129" s="16" t="str">
        <f>+A123</f>
        <v>Coletor</v>
      </c>
      <c r="B129" s="17" t="s">
        <v>10</v>
      </c>
      <c r="C129" s="102">
        <v>48</v>
      </c>
      <c r="D129" s="95">
        <v>9.1</v>
      </c>
      <c r="E129" s="50">
        <f>C129*D129</f>
        <v>436.79999999999995</v>
      </c>
      <c r="F129" s="23"/>
      <c r="G129" s="9"/>
    </row>
    <row r="130" spans="1:7" ht="13.5" thickBot="1">
      <c r="A130" s="16" t="str">
        <f>+A124</f>
        <v>Motorista</v>
      </c>
      <c r="B130" s="17" t="s">
        <v>10</v>
      </c>
      <c r="C130" s="102">
        <v>1</v>
      </c>
      <c r="D130" s="95">
        <v>90.93</v>
      </c>
      <c r="E130" s="50">
        <f>C130*D130</f>
        <v>90.93</v>
      </c>
      <c r="F130" s="23"/>
      <c r="G130" s="9"/>
    </row>
    <row r="131" spans="1:7" ht="13.5" thickBot="1">
      <c r="D131" s="124" t="s">
        <v>201</v>
      </c>
      <c r="E131" s="50">
        <f>$B$41</f>
        <v>0.18</v>
      </c>
      <c r="F131" s="22">
        <f>SUM(E129:E130)*E131</f>
        <v>94.991399999999999</v>
      </c>
      <c r="G131" s="9"/>
    </row>
    <row r="132" spans="1:7" ht="13.5" thickBot="1">
      <c r="G132" s="9"/>
    </row>
    <row r="133" spans="1:7" ht="13.5" thickBot="1">
      <c r="A133" s="24" t="s">
        <v>98</v>
      </c>
      <c r="B133" s="25"/>
      <c r="C133" s="25"/>
      <c r="D133" s="26"/>
      <c r="E133" s="27"/>
      <c r="F133" s="22">
        <f>F131+F125+F119+F111+F90+F75+F56</f>
        <v>3449.6096011197501</v>
      </c>
      <c r="G133" s="9"/>
    </row>
    <row r="135" spans="1:7">
      <c r="A135" s="11" t="s">
        <v>47</v>
      </c>
      <c r="G135" s="9"/>
    </row>
    <row r="136" spans="1:7" ht="11.25" customHeight="1">
      <c r="G136" s="9"/>
    </row>
    <row r="137" spans="1:7" ht="13.9" customHeight="1">
      <c r="A137" s="9" t="s">
        <v>203</v>
      </c>
      <c r="G137" s="9"/>
    </row>
    <row r="138" spans="1:7" ht="11.25" customHeight="1" thickBot="1">
      <c r="G138" s="9"/>
    </row>
    <row r="139" spans="1:7" ht="27.75" customHeight="1" thickBot="1">
      <c r="A139" s="60" t="s">
        <v>66</v>
      </c>
      <c r="B139" s="61" t="s">
        <v>67</v>
      </c>
      <c r="C139" s="271" t="s">
        <v>262</v>
      </c>
      <c r="D139" s="62" t="s">
        <v>243</v>
      </c>
      <c r="E139" s="62" t="s">
        <v>68</v>
      </c>
      <c r="F139" s="63" t="s">
        <v>69</v>
      </c>
      <c r="G139" s="9"/>
    </row>
    <row r="140" spans="1:7">
      <c r="A140" s="13" t="s">
        <v>70</v>
      </c>
      <c r="B140" s="14" t="s">
        <v>10</v>
      </c>
      <c r="C140" s="101">
        <v>12</v>
      </c>
      <c r="D140" s="87">
        <v>85</v>
      </c>
      <c r="E140" s="15">
        <f>IFERROR(D140/C140,0)</f>
        <v>7.083333333333333</v>
      </c>
      <c r="G140" s="9"/>
    </row>
    <row r="141" spans="1:7" ht="13.15" customHeight="1">
      <c r="A141" s="16" t="s">
        <v>30</v>
      </c>
      <c r="B141" s="17" t="s">
        <v>10</v>
      </c>
      <c r="C141" s="101">
        <v>4</v>
      </c>
      <c r="D141" s="87">
        <v>39</v>
      </c>
      <c r="E141" s="15">
        <f t="shared" ref="E141:E149" si="1">IFERROR(D141/C141,0)</f>
        <v>9.75</v>
      </c>
      <c r="G141" s="9"/>
    </row>
    <row r="142" spans="1:7">
      <c r="A142" s="16" t="s">
        <v>31</v>
      </c>
      <c r="B142" s="17" t="s">
        <v>10</v>
      </c>
      <c r="C142" s="101">
        <v>4</v>
      </c>
      <c r="D142" s="87">
        <v>39.5</v>
      </c>
      <c r="E142" s="15">
        <f t="shared" si="1"/>
        <v>9.875</v>
      </c>
      <c r="G142" s="9"/>
    </row>
    <row r="143" spans="1:7" ht="13.15" customHeight="1">
      <c r="A143" s="16" t="s">
        <v>32</v>
      </c>
      <c r="B143" s="17" t="s">
        <v>10</v>
      </c>
      <c r="C143" s="101">
        <v>6</v>
      </c>
      <c r="D143" s="87">
        <v>11.33</v>
      </c>
      <c r="E143" s="15">
        <f t="shared" si="1"/>
        <v>1.8883333333333334</v>
      </c>
      <c r="G143" s="9"/>
    </row>
    <row r="144" spans="1:7" ht="13.9" customHeight="1">
      <c r="A144" s="16" t="s">
        <v>72</v>
      </c>
      <c r="B144" s="17" t="s">
        <v>50</v>
      </c>
      <c r="C144" s="101">
        <v>4</v>
      </c>
      <c r="D144" s="87">
        <v>42.67</v>
      </c>
      <c r="E144" s="15">
        <f t="shared" si="1"/>
        <v>10.6675</v>
      </c>
      <c r="G144" s="9"/>
    </row>
    <row r="145" spans="1:7" ht="13.15" customHeight="1">
      <c r="A145" s="16" t="s">
        <v>99</v>
      </c>
      <c r="B145" s="17" t="s">
        <v>50</v>
      </c>
      <c r="C145" s="101">
        <v>3</v>
      </c>
      <c r="D145" s="87">
        <v>5</v>
      </c>
      <c r="E145" s="15">
        <f t="shared" si="1"/>
        <v>1.6666666666666667</v>
      </c>
    </row>
    <row r="146" spans="1:7">
      <c r="A146" s="16" t="s">
        <v>71</v>
      </c>
      <c r="B146" s="17" t="s">
        <v>10</v>
      </c>
      <c r="C146" s="101">
        <v>3</v>
      </c>
      <c r="D146" s="87">
        <v>29.67</v>
      </c>
      <c r="E146" s="15">
        <f t="shared" si="1"/>
        <v>9.89</v>
      </c>
    </row>
    <row r="147" spans="1:7" s="1" customFormat="1">
      <c r="A147" s="2" t="s">
        <v>11</v>
      </c>
      <c r="B147" s="3" t="s">
        <v>10</v>
      </c>
      <c r="C147" s="101">
        <v>4</v>
      </c>
      <c r="D147" s="87">
        <v>39.9</v>
      </c>
      <c r="E147" s="15">
        <f t="shared" si="1"/>
        <v>9.9749999999999996</v>
      </c>
      <c r="F147" s="38"/>
      <c r="G147" s="38"/>
    </row>
    <row r="148" spans="1:7">
      <c r="A148" s="16" t="s">
        <v>33</v>
      </c>
      <c r="B148" s="17" t="s">
        <v>50</v>
      </c>
      <c r="C148" s="101">
        <v>0.25</v>
      </c>
      <c r="D148" s="87">
        <v>11.63</v>
      </c>
      <c r="E148" s="15">
        <f t="shared" si="1"/>
        <v>46.52</v>
      </c>
    </row>
    <row r="149" spans="1:7" ht="13.15" customHeight="1">
      <c r="A149" s="16" t="s">
        <v>65</v>
      </c>
      <c r="B149" s="17" t="s">
        <v>51</v>
      </c>
      <c r="C149" s="101">
        <v>1</v>
      </c>
      <c r="D149" s="87">
        <v>30</v>
      </c>
      <c r="E149" s="15">
        <f t="shared" si="1"/>
        <v>30</v>
      </c>
    </row>
    <row r="150" spans="1:7">
      <c r="A150" s="16" t="s">
        <v>204</v>
      </c>
      <c r="B150" s="17" t="s">
        <v>130</v>
      </c>
      <c r="C150" s="122">
        <v>1</v>
      </c>
      <c r="D150" s="87">
        <v>50</v>
      </c>
      <c r="E150" s="18">
        <f t="shared" ref="E150:E151" si="2">C150*D150</f>
        <v>50</v>
      </c>
    </row>
    <row r="151" spans="1:7" ht="13.5" thickBot="1">
      <c r="A151" s="16" t="s">
        <v>5</v>
      </c>
      <c r="B151" s="17" t="s">
        <v>6</v>
      </c>
      <c r="C151" s="69">
        <f>E31+E32</f>
        <v>2</v>
      </c>
      <c r="D151" s="18">
        <f>+SUM(E140:E150)</f>
        <v>187.31583333333333</v>
      </c>
      <c r="E151" s="18">
        <f t="shared" si="2"/>
        <v>374.63166666666666</v>
      </c>
    </row>
    <row r="152" spans="1:7" ht="13.5" thickBot="1">
      <c r="D152" s="124" t="s">
        <v>201</v>
      </c>
      <c r="E152" s="50">
        <f>$B$41</f>
        <v>0.18</v>
      </c>
      <c r="F152" s="125">
        <f>E151*E152</f>
        <v>67.433700000000002</v>
      </c>
    </row>
    <row r="153" spans="1:7" ht="11.25" customHeight="1"/>
    <row r="154" spans="1:7" ht="13.9" customHeight="1">
      <c r="A154" s="9" t="s">
        <v>205</v>
      </c>
    </row>
    <row r="155" spans="1:7" ht="11.25" customHeight="1" thickBot="1"/>
    <row r="156" spans="1:7" ht="24.75" thickBot="1">
      <c r="A156" s="60" t="s">
        <v>66</v>
      </c>
      <c r="B156" s="61" t="s">
        <v>67</v>
      </c>
      <c r="C156" s="271" t="s">
        <v>262</v>
      </c>
      <c r="D156" s="62" t="s">
        <v>243</v>
      </c>
      <c r="E156" s="62" t="s">
        <v>68</v>
      </c>
      <c r="F156" s="63" t="s">
        <v>69</v>
      </c>
    </row>
    <row r="157" spans="1:7">
      <c r="A157" s="13" t="s">
        <v>70</v>
      </c>
      <c r="B157" s="14" t="s">
        <v>10</v>
      </c>
      <c r="C157" s="101">
        <v>12</v>
      </c>
      <c r="D157" s="15">
        <f>+D140</f>
        <v>85</v>
      </c>
      <c r="E157" s="15">
        <f>IFERROR(D157/C157,0)</f>
        <v>7.083333333333333</v>
      </c>
    </row>
    <row r="158" spans="1:7">
      <c r="A158" s="16" t="s">
        <v>30</v>
      </c>
      <c r="B158" s="17" t="s">
        <v>10</v>
      </c>
      <c r="C158" s="101">
        <v>4</v>
      </c>
      <c r="D158" s="18">
        <f>+D141</f>
        <v>39</v>
      </c>
      <c r="E158" s="15">
        <f t="shared" ref="E158:E162" si="3">IFERROR(D158/C158,0)</f>
        <v>9.75</v>
      </c>
    </row>
    <row r="159" spans="1:7">
      <c r="A159" s="16" t="s">
        <v>31</v>
      </c>
      <c r="B159" s="17" t="s">
        <v>10</v>
      </c>
      <c r="C159" s="101">
        <v>2</v>
      </c>
      <c r="D159" s="18">
        <f>+D142</f>
        <v>39.5</v>
      </c>
      <c r="E159" s="15">
        <f t="shared" si="3"/>
        <v>19.75</v>
      </c>
    </row>
    <row r="160" spans="1:7">
      <c r="A160" s="16" t="s">
        <v>72</v>
      </c>
      <c r="B160" s="17" t="s">
        <v>50</v>
      </c>
      <c r="C160" s="101">
        <v>4</v>
      </c>
      <c r="D160" s="18">
        <f>+D144</f>
        <v>42.67</v>
      </c>
      <c r="E160" s="15">
        <f t="shared" si="3"/>
        <v>10.6675</v>
      </c>
    </row>
    <row r="161" spans="1:7">
      <c r="A161" s="16" t="s">
        <v>71</v>
      </c>
      <c r="B161" s="17" t="s">
        <v>10</v>
      </c>
      <c r="C161" s="101">
        <v>4</v>
      </c>
      <c r="D161" s="18">
        <f>+D146</f>
        <v>29.67</v>
      </c>
      <c r="E161" s="15">
        <f t="shared" si="3"/>
        <v>7.4175000000000004</v>
      </c>
      <c r="G161" s="9"/>
    </row>
    <row r="162" spans="1:7">
      <c r="A162" s="16" t="s">
        <v>65</v>
      </c>
      <c r="B162" s="17" t="s">
        <v>51</v>
      </c>
      <c r="C162" s="101">
        <v>2</v>
      </c>
      <c r="D162" s="18">
        <f>+D149</f>
        <v>30</v>
      </c>
      <c r="E162" s="15">
        <f t="shared" si="3"/>
        <v>15</v>
      </c>
      <c r="G162" s="9"/>
    </row>
    <row r="163" spans="1:7">
      <c r="A163" s="16" t="s">
        <v>204</v>
      </c>
      <c r="B163" s="17" t="s">
        <v>130</v>
      </c>
      <c r="C163" s="122">
        <v>1</v>
      </c>
      <c r="D163" s="87">
        <v>50</v>
      </c>
      <c r="E163" s="18">
        <f t="shared" ref="E163:E164" si="4">C163*D163</f>
        <v>50</v>
      </c>
      <c r="G163" s="9"/>
    </row>
    <row r="164" spans="1:7" ht="13.5" thickBot="1">
      <c r="A164" s="16" t="s">
        <v>5</v>
      </c>
      <c r="B164" s="17" t="s">
        <v>6</v>
      </c>
      <c r="C164" s="69">
        <v>2</v>
      </c>
      <c r="D164" s="18">
        <f>+SUM(E157:E163)</f>
        <v>119.66833333333334</v>
      </c>
      <c r="E164" s="18">
        <f t="shared" si="4"/>
        <v>239.33666666666667</v>
      </c>
      <c r="G164" s="9"/>
    </row>
    <row r="165" spans="1:7" ht="13.5" thickBot="1">
      <c r="D165" s="124" t="s">
        <v>201</v>
      </c>
      <c r="E165" s="50">
        <f>$B$41</f>
        <v>0.18</v>
      </c>
      <c r="F165" s="125">
        <f>E164*E165</f>
        <v>43.080599999999997</v>
      </c>
      <c r="G165" s="9"/>
    </row>
    <row r="166" spans="1:7" ht="11.25" customHeight="1" thickBot="1">
      <c r="G166" s="9"/>
    </row>
    <row r="167" spans="1:7" ht="13.5" thickBot="1">
      <c r="A167" s="24" t="s">
        <v>206</v>
      </c>
      <c r="B167" s="28"/>
      <c r="C167" s="28"/>
      <c r="D167" s="29"/>
      <c r="E167" s="30"/>
      <c r="F167" s="21">
        <f>+F152+F165</f>
        <v>110.51429999999999</v>
      </c>
      <c r="G167" s="9"/>
    </row>
    <row r="168" spans="1:7" ht="11.25" customHeight="1">
      <c r="G168" s="9"/>
    </row>
    <row r="169" spans="1:7">
      <c r="A169" s="11" t="s">
        <v>56</v>
      </c>
      <c r="G169" s="9"/>
    </row>
    <row r="170" spans="1:7" ht="11.25" customHeight="1">
      <c r="B170" s="107"/>
      <c r="G170" s="9"/>
    </row>
    <row r="171" spans="1:7">
      <c r="A171" s="7" t="s">
        <v>314</v>
      </c>
      <c r="G171" s="9"/>
    </row>
    <row r="172" spans="1:7" ht="11.25" customHeight="1">
      <c r="G172" s="9"/>
    </row>
    <row r="173" spans="1:7" ht="13.5" thickBot="1">
      <c r="A173" s="107" t="s">
        <v>48</v>
      </c>
      <c r="G173" s="9"/>
    </row>
    <row r="174" spans="1:7" ht="13.5" thickBot="1">
      <c r="A174" s="60" t="s">
        <v>66</v>
      </c>
      <c r="B174" s="61" t="s">
        <v>67</v>
      </c>
      <c r="C174" s="61" t="s">
        <v>42</v>
      </c>
      <c r="D174" s="62" t="s">
        <v>243</v>
      </c>
      <c r="E174" s="62" t="s">
        <v>68</v>
      </c>
      <c r="F174" s="63" t="s">
        <v>69</v>
      </c>
      <c r="G174" s="9"/>
    </row>
    <row r="175" spans="1:7">
      <c r="A175" s="13" t="s">
        <v>114</v>
      </c>
      <c r="B175" s="14" t="s">
        <v>10</v>
      </c>
      <c r="C175" s="277">
        <v>1</v>
      </c>
      <c r="D175" s="87">
        <v>111521</v>
      </c>
      <c r="E175" s="15">
        <f>C175*D175</f>
        <v>111521</v>
      </c>
      <c r="G175" s="9"/>
    </row>
    <row r="176" spans="1:7">
      <c r="A176" s="16" t="s">
        <v>108</v>
      </c>
      <c r="B176" s="17" t="s">
        <v>109</v>
      </c>
      <c r="C176" s="86">
        <v>10</v>
      </c>
      <c r="D176" s="83"/>
      <c r="E176" s="18"/>
      <c r="G176" s="9"/>
    </row>
    <row r="177" spans="1:10">
      <c r="A177" s="16" t="s">
        <v>214</v>
      </c>
      <c r="B177" s="17" t="s">
        <v>109</v>
      </c>
      <c r="C177" s="86">
        <v>0</v>
      </c>
      <c r="D177" s="18"/>
      <c r="E177" s="18"/>
      <c r="F177" s="20"/>
      <c r="I177" s="85"/>
      <c r="J177" s="85"/>
    </row>
    <row r="178" spans="1:10">
      <c r="A178" s="16" t="s">
        <v>112</v>
      </c>
      <c r="B178" s="17" t="s">
        <v>2</v>
      </c>
      <c r="C178" s="141">
        <f>IFERROR(VLOOKUP(C176,'5. Depreciação'!A3:B17,2,FALSE),0)</f>
        <v>65.180000000000007</v>
      </c>
      <c r="D178" s="18">
        <f>E175</f>
        <v>111521</v>
      </c>
      <c r="E178" s="18">
        <f>C178*D178/100</f>
        <v>72689.387800000011</v>
      </c>
    </row>
    <row r="179" spans="1:10" ht="13.5" thickBot="1">
      <c r="A179" s="280" t="s">
        <v>52</v>
      </c>
      <c r="B179" s="281" t="s">
        <v>8</v>
      </c>
      <c r="C179" s="281">
        <f>C176*12</f>
        <v>120</v>
      </c>
      <c r="D179" s="282">
        <f>IF(C177&lt;=C176,E178,0)</f>
        <v>72689.387800000011</v>
      </c>
      <c r="E179" s="282">
        <f>IFERROR(D179/C179,0)</f>
        <v>605.74489833333348</v>
      </c>
    </row>
    <row r="180" spans="1:10" ht="13.5" thickTop="1">
      <c r="A180" s="13" t="s">
        <v>113</v>
      </c>
      <c r="B180" s="14" t="s">
        <v>10</v>
      </c>
      <c r="C180" s="14">
        <f>C175</f>
        <v>1</v>
      </c>
      <c r="D180" s="87">
        <v>120000</v>
      </c>
      <c r="E180" s="15">
        <f>C180*D180</f>
        <v>120000</v>
      </c>
      <c r="G180" s="9"/>
    </row>
    <row r="181" spans="1:10">
      <c r="A181" s="16" t="s">
        <v>110</v>
      </c>
      <c r="B181" s="17" t="s">
        <v>109</v>
      </c>
      <c r="C181" s="86">
        <v>10</v>
      </c>
      <c r="D181" s="18"/>
      <c r="E181" s="18"/>
    </row>
    <row r="182" spans="1:10">
      <c r="A182" s="16" t="s">
        <v>215</v>
      </c>
      <c r="B182" s="17" t="s">
        <v>109</v>
      </c>
      <c r="C182" s="86">
        <v>0</v>
      </c>
      <c r="D182" s="18"/>
      <c r="E182" s="18"/>
      <c r="F182" s="20"/>
      <c r="I182" s="85"/>
      <c r="J182" s="85"/>
    </row>
    <row r="183" spans="1:10">
      <c r="A183" s="16" t="s">
        <v>111</v>
      </c>
      <c r="B183" s="17" t="s">
        <v>2</v>
      </c>
      <c r="C183" s="142">
        <f>IFERROR(VLOOKUP(C181,'5. Depreciação'!A3:B17,2,FALSE),0)</f>
        <v>65.180000000000007</v>
      </c>
      <c r="D183" s="18">
        <f>E180</f>
        <v>120000</v>
      </c>
      <c r="E183" s="18">
        <f>C183*D183/100</f>
        <v>78216.000000000015</v>
      </c>
    </row>
    <row r="184" spans="1:10">
      <c r="A184" s="103" t="s">
        <v>115</v>
      </c>
      <c r="B184" s="104" t="s">
        <v>8</v>
      </c>
      <c r="C184" s="104">
        <f>C181*12</f>
        <v>120</v>
      </c>
      <c r="D184" s="105">
        <f>IF(C182&lt;=C181,E183,0)</f>
        <v>78216.000000000015</v>
      </c>
      <c r="E184" s="105">
        <f>IFERROR(D184/C184,0)</f>
        <v>651.80000000000007</v>
      </c>
    </row>
    <row r="185" spans="1:10">
      <c r="A185" s="117" t="s">
        <v>265</v>
      </c>
      <c r="B185" s="118"/>
      <c r="C185" s="118"/>
      <c r="D185" s="119"/>
      <c r="E185" s="120">
        <f>E179+E184</f>
        <v>1257.5448983333335</v>
      </c>
    </row>
    <row r="186" spans="1:10" ht="13.5" thickBot="1">
      <c r="A186" s="103" t="s">
        <v>266</v>
      </c>
      <c r="B186" s="104" t="s">
        <v>10</v>
      </c>
      <c r="C186" s="86">
        <v>1</v>
      </c>
      <c r="D186" s="105">
        <f>E185</f>
        <v>1257.5448983333335</v>
      </c>
      <c r="E186" s="120">
        <f>C186*D186</f>
        <v>1257.5448983333335</v>
      </c>
    </row>
    <row r="187" spans="1:10" ht="13.5" thickBot="1">
      <c r="A187" s="276"/>
      <c r="B187" s="276"/>
      <c r="C187" s="276"/>
      <c r="D187" s="124" t="s">
        <v>201</v>
      </c>
      <c r="E187" s="50">
        <f>$B$41</f>
        <v>0.18</v>
      </c>
      <c r="F187" s="21">
        <f>E186*E187</f>
        <v>226.35808170000004</v>
      </c>
    </row>
    <row r="188" spans="1:10" ht="11.25" customHeight="1"/>
    <row r="189" spans="1:10" ht="13.5" thickBot="1">
      <c r="A189" s="107" t="s">
        <v>120</v>
      </c>
    </row>
    <row r="190" spans="1:10" ht="13.5" thickBot="1">
      <c r="A190" s="109" t="s">
        <v>66</v>
      </c>
      <c r="B190" s="110" t="s">
        <v>67</v>
      </c>
      <c r="C190" s="110" t="s">
        <v>42</v>
      </c>
      <c r="D190" s="62" t="s">
        <v>243</v>
      </c>
      <c r="E190" s="111" t="s">
        <v>68</v>
      </c>
      <c r="F190" s="63" t="s">
        <v>69</v>
      </c>
      <c r="I190" s="85"/>
      <c r="J190" s="85"/>
    </row>
    <row r="191" spans="1:10">
      <c r="A191" s="16" t="s">
        <v>118</v>
      </c>
      <c r="B191" s="17" t="s">
        <v>10</v>
      </c>
      <c r="C191" s="277">
        <v>1</v>
      </c>
      <c r="D191" s="18">
        <f>D175</f>
        <v>111521</v>
      </c>
      <c r="E191" s="18">
        <f>C191*D191</f>
        <v>111521</v>
      </c>
      <c r="F191" s="20"/>
      <c r="I191" s="85"/>
      <c r="J191" s="85"/>
    </row>
    <row r="192" spans="1:10">
      <c r="A192" s="16" t="s">
        <v>218</v>
      </c>
      <c r="B192" s="17" t="s">
        <v>2</v>
      </c>
      <c r="C192" s="86">
        <v>3.5</v>
      </c>
      <c r="D192" s="18"/>
      <c r="E192" s="18"/>
      <c r="F192" s="20"/>
      <c r="I192" s="85"/>
      <c r="J192" s="85"/>
    </row>
    <row r="193" spans="1:10">
      <c r="A193" s="16" t="s">
        <v>216</v>
      </c>
      <c r="B193" s="17" t="s">
        <v>35</v>
      </c>
      <c r="C193" s="149">
        <f>IFERROR(IF(C177&lt;=C176,E175-(C178/(100*C176)*C177)*E175,E175-E178),0)</f>
        <v>111521</v>
      </c>
      <c r="D193" s="18"/>
      <c r="E193" s="18"/>
      <c r="F193" s="20"/>
      <c r="I193" s="85"/>
      <c r="J193" s="85"/>
    </row>
    <row r="194" spans="1:10">
      <c r="A194" s="16" t="s">
        <v>123</v>
      </c>
      <c r="B194" s="17" t="s">
        <v>35</v>
      </c>
      <c r="C194" s="83">
        <f>IFERROR(IF(C177&gt;=C176,C193,((((C193)-(E175-E178))*(((C176-C177)+1)/(2*(C176-C177))))+(E175-E178))),0)</f>
        <v>78810.77549</v>
      </c>
      <c r="D194" s="18"/>
      <c r="E194" s="18"/>
      <c r="F194" s="20"/>
      <c r="I194" s="85"/>
      <c r="J194" s="85"/>
    </row>
    <row r="195" spans="1:10" ht="13.5" thickBot="1">
      <c r="A195" s="280" t="s">
        <v>124</v>
      </c>
      <c r="B195" s="281" t="s">
        <v>35</v>
      </c>
      <c r="C195" s="281"/>
      <c r="D195" s="283">
        <f>C192*C194/12/100</f>
        <v>229.8647618458333</v>
      </c>
      <c r="E195" s="282">
        <f>D195</f>
        <v>229.8647618458333</v>
      </c>
      <c r="F195" s="20"/>
      <c r="I195" s="85"/>
      <c r="J195" s="85"/>
    </row>
    <row r="196" spans="1:10" ht="13.5" thickTop="1">
      <c r="A196" s="13" t="s">
        <v>119</v>
      </c>
      <c r="B196" s="14" t="s">
        <v>10</v>
      </c>
      <c r="C196" s="14">
        <f>C180</f>
        <v>1</v>
      </c>
      <c r="D196" s="15">
        <f>D180</f>
        <v>120000</v>
      </c>
      <c r="E196" s="15">
        <f>C196*D196</f>
        <v>120000</v>
      </c>
      <c r="F196" s="20"/>
      <c r="I196" s="85"/>
      <c r="J196" s="85"/>
    </row>
    <row r="197" spans="1:10">
      <c r="A197" s="16" t="s">
        <v>218</v>
      </c>
      <c r="B197" s="17" t="s">
        <v>2</v>
      </c>
      <c r="C197" s="278">
        <f>C192</f>
        <v>3.5</v>
      </c>
      <c r="D197" s="18"/>
      <c r="E197" s="18"/>
      <c r="F197" s="20"/>
      <c r="I197" s="85"/>
      <c r="J197" s="85"/>
    </row>
    <row r="198" spans="1:10">
      <c r="A198" s="16" t="s">
        <v>217</v>
      </c>
      <c r="B198" s="17" t="s">
        <v>35</v>
      </c>
      <c r="C198" s="149">
        <f>IFERROR(IF(C182&lt;=C181,E180-(C183/(100*C181)*C182)*E180,E180-E183),0)</f>
        <v>120000</v>
      </c>
      <c r="D198" s="18"/>
      <c r="E198" s="18"/>
      <c r="F198" s="20"/>
      <c r="I198" s="85"/>
      <c r="J198" s="85"/>
    </row>
    <row r="199" spans="1:10">
      <c r="A199" s="16" t="s">
        <v>125</v>
      </c>
      <c r="B199" s="17" t="s">
        <v>35</v>
      </c>
      <c r="C199" s="83">
        <f>IFERROR(IF(C182&gt;=C181,C198,((((C198)-(E180-E183))*(((C181-C182)+1)/(2*(C181-C182))))+(E180-E183))),0)</f>
        <v>84802.799999999988</v>
      </c>
      <c r="D199" s="18"/>
      <c r="E199" s="18"/>
      <c r="F199" s="20"/>
      <c r="I199" s="85"/>
      <c r="J199" s="85"/>
    </row>
    <row r="200" spans="1:10">
      <c r="A200" s="103" t="s">
        <v>122</v>
      </c>
      <c r="B200" s="104" t="s">
        <v>35</v>
      </c>
      <c r="C200" s="104"/>
      <c r="D200" s="113">
        <f>C197*C199/12/100</f>
        <v>247.34149999999994</v>
      </c>
      <c r="E200" s="105">
        <f>D200</f>
        <v>247.34149999999994</v>
      </c>
      <c r="F200" s="20"/>
      <c r="I200" s="85"/>
      <c r="J200" s="85"/>
    </row>
    <row r="201" spans="1:10">
      <c r="A201" s="117" t="s">
        <v>265</v>
      </c>
      <c r="B201" s="118"/>
      <c r="C201" s="118"/>
      <c r="D201" s="119"/>
      <c r="E201" s="120">
        <f>E195+E200</f>
        <v>477.20626184583324</v>
      </c>
      <c r="F201" s="20"/>
      <c r="I201" s="85"/>
      <c r="J201" s="85"/>
    </row>
    <row r="202" spans="1:10" ht="13.5" thickBot="1">
      <c r="A202" s="103" t="s">
        <v>266</v>
      </c>
      <c r="B202" s="104" t="s">
        <v>10</v>
      </c>
      <c r="C202" s="278">
        <f>C186</f>
        <v>1</v>
      </c>
      <c r="D202" s="105">
        <f>E201</f>
        <v>477.20626184583324</v>
      </c>
      <c r="E202" s="120">
        <f>C202*D202</f>
        <v>477.20626184583324</v>
      </c>
      <c r="F202" s="20"/>
      <c r="I202" s="85"/>
      <c r="J202" s="85"/>
    </row>
    <row r="203" spans="1:10" ht="13.5" thickBot="1">
      <c r="C203" s="19"/>
      <c r="D203" s="124" t="s">
        <v>201</v>
      </c>
      <c r="E203" s="50">
        <f>$B$41</f>
        <v>0.18</v>
      </c>
      <c r="F203" s="21">
        <f>E202*E203</f>
        <v>85.897127132249977</v>
      </c>
      <c r="I203" s="85"/>
      <c r="J203" s="85"/>
    </row>
    <row r="204" spans="1:10" ht="11.25" customHeight="1">
      <c r="I204" s="85"/>
      <c r="J204" s="85"/>
    </row>
    <row r="205" spans="1:10" ht="13.5" thickBot="1">
      <c r="A205" s="9" t="s">
        <v>53</v>
      </c>
      <c r="I205" s="85"/>
      <c r="J205" s="85"/>
    </row>
    <row r="206" spans="1:10" ht="13.5" thickBot="1">
      <c r="A206" s="60" t="s">
        <v>66</v>
      </c>
      <c r="B206" s="61" t="s">
        <v>67</v>
      </c>
      <c r="C206" s="61" t="s">
        <v>42</v>
      </c>
      <c r="D206" s="62" t="s">
        <v>243</v>
      </c>
      <c r="E206" s="62" t="s">
        <v>68</v>
      </c>
      <c r="F206" s="63" t="s">
        <v>69</v>
      </c>
      <c r="I206" s="85"/>
      <c r="J206" s="85"/>
    </row>
    <row r="207" spans="1:10">
      <c r="A207" s="13" t="s">
        <v>12</v>
      </c>
      <c r="B207" s="14" t="s">
        <v>10</v>
      </c>
      <c r="C207" s="15">
        <f>C186</f>
        <v>1</v>
      </c>
      <c r="D207" s="15">
        <f>0.01*($E$175)</f>
        <v>1115.21</v>
      </c>
      <c r="E207" s="15">
        <f>C207*D207</f>
        <v>1115.21</v>
      </c>
      <c r="I207" s="85"/>
      <c r="J207" s="85"/>
    </row>
    <row r="208" spans="1:10">
      <c r="A208" s="16" t="s">
        <v>200</v>
      </c>
      <c r="B208" s="17" t="s">
        <v>10</v>
      </c>
      <c r="C208" s="15">
        <f>C186</f>
        <v>1</v>
      </c>
      <c r="D208" s="89">
        <v>66.7</v>
      </c>
      <c r="E208" s="18">
        <f>C208*D208</f>
        <v>66.7</v>
      </c>
      <c r="I208" s="85"/>
      <c r="J208" s="85"/>
    </row>
    <row r="209" spans="1:10">
      <c r="A209" s="16" t="s">
        <v>13</v>
      </c>
      <c r="B209" s="17" t="s">
        <v>10</v>
      </c>
      <c r="C209" s="15">
        <f>C186</f>
        <v>1</v>
      </c>
      <c r="D209" s="89">
        <v>122.85</v>
      </c>
      <c r="E209" s="18">
        <f>C209*D209</f>
        <v>122.85</v>
      </c>
      <c r="F209" s="31"/>
      <c r="I209" s="85"/>
      <c r="J209" s="85"/>
    </row>
    <row r="210" spans="1:10" ht="13.5" thickBot="1">
      <c r="A210" s="103" t="s">
        <v>14</v>
      </c>
      <c r="B210" s="104" t="s">
        <v>8</v>
      </c>
      <c r="C210" s="104">
        <v>12</v>
      </c>
      <c r="D210" s="105">
        <f>SUM(E207:E209)</f>
        <v>1304.76</v>
      </c>
      <c r="E210" s="105">
        <f>D210/C210</f>
        <v>108.73</v>
      </c>
      <c r="I210" s="85"/>
      <c r="J210" s="85"/>
    </row>
    <row r="211" spans="1:10" ht="13.5" thickBot="1">
      <c r="D211" s="124" t="s">
        <v>201</v>
      </c>
      <c r="E211" s="50">
        <f>$B$41</f>
        <v>0.18</v>
      </c>
      <c r="F211" s="125">
        <f>E210*E211</f>
        <v>19.571400000000001</v>
      </c>
      <c r="I211" s="85"/>
      <c r="J211" s="85"/>
    </row>
    <row r="212" spans="1:10" ht="11.25" customHeight="1">
      <c r="I212" s="85"/>
      <c r="J212" s="85"/>
    </row>
    <row r="213" spans="1:10">
      <c r="A213" s="9" t="s">
        <v>54</v>
      </c>
      <c r="B213" s="32"/>
      <c r="I213" s="85"/>
      <c r="J213" s="85"/>
    </row>
    <row r="214" spans="1:10">
      <c r="B214" s="32"/>
      <c r="I214" s="85"/>
      <c r="J214" s="85"/>
    </row>
    <row r="215" spans="1:10">
      <c r="A215" s="103" t="s">
        <v>127</v>
      </c>
      <c r="B215" s="114">
        <v>1908</v>
      </c>
      <c r="I215" s="85"/>
      <c r="J215" s="85"/>
    </row>
    <row r="216" spans="1:10" ht="13.5" thickBot="1">
      <c r="B216" s="32"/>
      <c r="I216" s="85"/>
      <c r="J216" s="85"/>
    </row>
    <row r="217" spans="1:10" ht="13.5" thickBot="1">
      <c r="A217" s="60" t="s">
        <v>66</v>
      </c>
      <c r="B217" s="61" t="s">
        <v>67</v>
      </c>
      <c r="C217" s="61" t="s">
        <v>264</v>
      </c>
      <c r="D217" s="62" t="s">
        <v>243</v>
      </c>
      <c r="E217" s="62" t="s">
        <v>68</v>
      </c>
      <c r="F217" s="63" t="s">
        <v>69</v>
      </c>
      <c r="I217" s="85"/>
      <c r="J217" s="85"/>
    </row>
    <row r="218" spans="1:10">
      <c r="A218" s="13" t="s">
        <v>15</v>
      </c>
      <c r="B218" s="14" t="s">
        <v>16</v>
      </c>
      <c r="C218" s="97">
        <v>2</v>
      </c>
      <c r="D218" s="98">
        <v>4.3899999999999997</v>
      </c>
      <c r="E218" s="15"/>
      <c r="I218" s="85"/>
      <c r="J218" s="85"/>
    </row>
    <row r="219" spans="1:10">
      <c r="A219" s="16" t="s">
        <v>17</v>
      </c>
      <c r="B219" s="17" t="s">
        <v>18</v>
      </c>
      <c r="C219" s="94">
        <f>B215</f>
        <v>1908</v>
      </c>
      <c r="D219" s="275">
        <f>IFERROR(+D218/C218,"-")</f>
        <v>2.1949999999999998</v>
      </c>
      <c r="E219" s="18">
        <f>IFERROR(C219*D219,"-")</f>
        <v>4188.0599999999995</v>
      </c>
      <c r="I219" s="85"/>
      <c r="J219" s="85"/>
    </row>
    <row r="220" spans="1:10">
      <c r="A220" s="16" t="s">
        <v>244</v>
      </c>
      <c r="B220" s="17" t="s">
        <v>19</v>
      </c>
      <c r="C220" s="100">
        <v>0.5</v>
      </c>
      <c r="D220" s="89">
        <v>15</v>
      </c>
      <c r="E220" s="18"/>
      <c r="G220" s="112"/>
      <c r="H220" s="52"/>
      <c r="I220" s="85"/>
      <c r="J220" s="85"/>
    </row>
    <row r="221" spans="1:10">
      <c r="A221" s="16" t="s">
        <v>20</v>
      </c>
      <c r="B221" s="17" t="s">
        <v>18</v>
      </c>
      <c r="C221" s="94">
        <f>C219</f>
        <v>1908</v>
      </c>
      <c r="D221" s="272">
        <f>+C220*D220/1000</f>
        <v>7.4999999999999997E-3</v>
      </c>
      <c r="E221" s="18">
        <f>C221*D221</f>
        <v>14.309999999999999</v>
      </c>
      <c r="G221" s="112"/>
      <c r="H221" s="52"/>
      <c r="I221" s="85"/>
      <c r="J221" s="85"/>
    </row>
    <row r="222" spans="1:10">
      <c r="A222" s="16" t="s">
        <v>245</v>
      </c>
      <c r="B222" s="17" t="s">
        <v>19</v>
      </c>
      <c r="C222" s="100">
        <v>0.5</v>
      </c>
      <c r="D222" s="89">
        <v>12</v>
      </c>
      <c r="E222" s="18"/>
      <c r="G222" s="112"/>
      <c r="H222" s="52"/>
      <c r="I222" s="85"/>
      <c r="J222" s="85"/>
    </row>
    <row r="223" spans="1:10">
      <c r="A223" s="16" t="s">
        <v>21</v>
      </c>
      <c r="B223" s="17" t="s">
        <v>18</v>
      </c>
      <c r="C223" s="94">
        <f>C219</f>
        <v>1908</v>
      </c>
      <c r="D223" s="272">
        <f>+C222*D222/1000</f>
        <v>6.0000000000000001E-3</v>
      </c>
      <c r="E223" s="18">
        <f>C223*D223</f>
        <v>11.448</v>
      </c>
      <c r="G223" s="112"/>
      <c r="H223" s="52"/>
      <c r="I223" s="85"/>
      <c r="J223" s="85"/>
    </row>
    <row r="224" spans="1:10">
      <c r="A224" s="16" t="s">
        <v>246</v>
      </c>
      <c r="B224" s="17" t="s">
        <v>19</v>
      </c>
      <c r="C224" s="100">
        <v>0.5</v>
      </c>
      <c r="D224" s="89">
        <v>0.04</v>
      </c>
      <c r="E224" s="18"/>
      <c r="G224" s="112"/>
      <c r="H224" s="52"/>
      <c r="I224" s="85"/>
      <c r="J224" s="85"/>
    </row>
    <row r="225" spans="1:10">
      <c r="A225" s="16" t="s">
        <v>22</v>
      </c>
      <c r="B225" s="17" t="s">
        <v>18</v>
      </c>
      <c r="C225" s="94">
        <f>C219</f>
        <v>1908</v>
      </c>
      <c r="D225" s="272">
        <f>+C224*D224/1000</f>
        <v>2.0000000000000002E-5</v>
      </c>
      <c r="E225" s="18">
        <f>C225*D225</f>
        <v>3.8160000000000006E-2</v>
      </c>
      <c r="G225" s="112"/>
      <c r="H225" s="52"/>
      <c r="I225" s="85"/>
      <c r="J225" s="85"/>
    </row>
    <row r="226" spans="1:10">
      <c r="A226" s="16" t="s">
        <v>23</v>
      </c>
      <c r="B226" s="17" t="s">
        <v>24</v>
      </c>
      <c r="C226" s="100">
        <v>2</v>
      </c>
      <c r="D226" s="89">
        <v>6</v>
      </c>
      <c r="E226" s="18"/>
      <c r="G226" s="112"/>
      <c r="H226" s="52"/>
      <c r="I226" s="85"/>
      <c r="J226" s="85"/>
    </row>
    <row r="227" spans="1:10">
      <c r="A227" s="16" t="s">
        <v>25</v>
      </c>
      <c r="B227" s="17" t="s">
        <v>18</v>
      </c>
      <c r="C227" s="94">
        <f>C219</f>
        <v>1908</v>
      </c>
      <c r="D227" s="272">
        <f>+C226*D226/1000</f>
        <v>1.2E-2</v>
      </c>
      <c r="E227" s="18">
        <f>C227*D227</f>
        <v>22.896000000000001</v>
      </c>
      <c r="G227" s="112"/>
      <c r="H227" s="52"/>
      <c r="I227" s="85"/>
      <c r="J227" s="85"/>
    </row>
    <row r="228" spans="1:10" ht="13.5" thickBot="1">
      <c r="A228" s="103" t="s">
        <v>263</v>
      </c>
      <c r="B228" s="104" t="s">
        <v>128</v>
      </c>
      <c r="C228" s="273"/>
      <c r="D228" s="274">
        <f>IFERROR(D219+D221+D223+D225+D227,0)</f>
        <v>2.2205199999999996</v>
      </c>
      <c r="E228" s="18"/>
      <c r="G228" s="112"/>
      <c r="H228" s="52"/>
      <c r="I228" s="85"/>
      <c r="J228" s="85"/>
    </row>
    <row r="229" spans="1:10" ht="13.5" thickBot="1">
      <c r="F229" s="21">
        <f>SUM(E218:E227)</f>
        <v>4236.75216</v>
      </c>
      <c r="I229" s="85"/>
      <c r="J229" s="85"/>
    </row>
    <row r="230" spans="1:10" ht="11.25" customHeight="1">
      <c r="I230" s="85"/>
      <c r="J230" s="85"/>
    </row>
    <row r="231" spans="1:10" ht="13.5" thickBot="1">
      <c r="A231" s="9" t="s">
        <v>55</v>
      </c>
      <c r="I231" s="85"/>
      <c r="J231" s="85"/>
    </row>
    <row r="232" spans="1:10" ht="13.5" thickBot="1">
      <c r="A232" s="60" t="s">
        <v>66</v>
      </c>
      <c r="B232" s="61" t="s">
        <v>67</v>
      </c>
      <c r="C232" s="61" t="s">
        <v>42</v>
      </c>
      <c r="D232" s="62" t="s">
        <v>243</v>
      </c>
      <c r="E232" s="62" t="s">
        <v>68</v>
      </c>
      <c r="F232" s="63" t="s">
        <v>69</v>
      </c>
      <c r="I232" s="85"/>
      <c r="J232" s="85"/>
    </row>
    <row r="233" spans="1:10" ht="13.5" thickBot="1">
      <c r="A233" s="13" t="s">
        <v>126</v>
      </c>
      <c r="B233" s="14" t="s">
        <v>128</v>
      </c>
      <c r="C233" s="94">
        <f>C219</f>
        <v>1908</v>
      </c>
      <c r="D233" s="87">
        <v>0.74</v>
      </c>
      <c r="E233" s="15">
        <f>C233*D233</f>
        <v>1411.92</v>
      </c>
      <c r="I233" s="85"/>
      <c r="J233" s="85"/>
    </row>
    <row r="234" spans="1:10" ht="13.5" thickBot="1">
      <c r="F234" s="21">
        <f>E233</f>
        <v>1411.92</v>
      </c>
      <c r="I234" s="85"/>
      <c r="J234" s="85"/>
    </row>
    <row r="235" spans="1:10" ht="11.25" customHeight="1">
      <c r="I235" s="85"/>
      <c r="J235" s="85"/>
    </row>
    <row r="236" spans="1:10" ht="13.5" thickBot="1">
      <c r="A236" s="9" t="s">
        <v>64</v>
      </c>
      <c r="I236" s="85"/>
      <c r="J236" s="85"/>
    </row>
    <row r="237" spans="1:10" ht="13.5" thickBot="1">
      <c r="A237" s="60" t="s">
        <v>66</v>
      </c>
      <c r="B237" s="61" t="s">
        <v>67</v>
      </c>
      <c r="C237" s="61" t="s">
        <v>42</v>
      </c>
      <c r="D237" s="62" t="s">
        <v>243</v>
      </c>
      <c r="E237" s="62" t="s">
        <v>68</v>
      </c>
      <c r="F237" s="63" t="s">
        <v>69</v>
      </c>
      <c r="I237" s="85"/>
      <c r="J237" s="85"/>
    </row>
    <row r="238" spans="1:10">
      <c r="A238" s="307" t="s">
        <v>309</v>
      </c>
      <c r="B238" s="14" t="s">
        <v>10</v>
      </c>
      <c r="C238" s="96">
        <v>6</v>
      </c>
      <c r="D238" s="87">
        <v>1783.2</v>
      </c>
      <c r="E238" s="15">
        <f>C238*D238</f>
        <v>10699.2</v>
      </c>
      <c r="I238" s="85"/>
      <c r="J238" s="85"/>
    </row>
    <row r="239" spans="1:10">
      <c r="A239" s="13" t="s">
        <v>129</v>
      </c>
      <c r="B239" s="14" t="s">
        <v>10</v>
      </c>
      <c r="C239" s="96"/>
      <c r="D239" s="106"/>
      <c r="E239" s="15"/>
      <c r="I239" s="85"/>
      <c r="J239" s="85"/>
    </row>
    <row r="240" spans="1:10">
      <c r="A240" s="13" t="s">
        <v>74</v>
      </c>
      <c r="B240" s="14" t="s">
        <v>10</v>
      </c>
      <c r="C240" s="15">
        <f>C238*C239</f>
        <v>0</v>
      </c>
      <c r="D240" s="87"/>
      <c r="E240" s="15">
        <f>C240*D240</f>
        <v>0</v>
      </c>
      <c r="I240" s="85"/>
      <c r="J240" s="85"/>
    </row>
    <row r="241" spans="1:10">
      <c r="A241" s="16" t="s">
        <v>100</v>
      </c>
      <c r="B241" s="17" t="s">
        <v>26</v>
      </c>
      <c r="C241" s="99">
        <v>22500</v>
      </c>
      <c r="D241" s="18">
        <f>E238+E240</f>
        <v>10699.2</v>
      </c>
      <c r="E241" s="18">
        <f>IFERROR(D241/C241,"-")</f>
        <v>0.47552000000000005</v>
      </c>
      <c r="I241" s="85"/>
      <c r="J241" s="85"/>
    </row>
    <row r="242" spans="1:10" ht="13.5" thickBot="1">
      <c r="A242" s="16" t="s">
        <v>57</v>
      </c>
      <c r="B242" s="17" t="s">
        <v>18</v>
      </c>
      <c r="C242" s="94">
        <f>B215</f>
        <v>1908</v>
      </c>
      <c r="D242" s="18">
        <f>E241</f>
        <v>0.47552000000000005</v>
      </c>
      <c r="E242" s="18">
        <f>IFERROR(C242*D242,0)</f>
        <v>907.29216000000008</v>
      </c>
      <c r="I242" s="85"/>
      <c r="J242" s="85"/>
    </row>
    <row r="243" spans="1:10" ht="13.5" thickBot="1">
      <c r="F243" s="21">
        <f>E242</f>
        <v>907.29216000000008</v>
      </c>
      <c r="I243" s="85"/>
      <c r="J243" s="85"/>
    </row>
    <row r="244" spans="1:10" ht="11.25" customHeight="1">
      <c r="I244" s="85"/>
      <c r="J244" s="85"/>
    </row>
    <row r="245" spans="1:10" ht="11.25" customHeight="1" thickBot="1">
      <c r="G245" s="9"/>
    </row>
    <row r="246" spans="1:10" ht="13.5" thickBot="1">
      <c r="A246" s="24" t="s">
        <v>231</v>
      </c>
      <c r="B246" s="25"/>
      <c r="C246" s="25"/>
      <c r="D246" s="26"/>
      <c r="E246" s="27"/>
      <c r="F246" s="21">
        <f>+SUM(F175:F245)</f>
        <v>6887.7909288322498</v>
      </c>
      <c r="G246" s="9"/>
    </row>
    <row r="247" spans="1:10" ht="11.25" customHeight="1">
      <c r="G247" s="9"/>
    </row>
    <row r="248" spans="1:10">
      <c r="A248" s="34" t="s">
        <v>78</v>
      </c>
      <c r="B248" s="34"/>
      <c r="C248" s="34"/>
      <c r="D248" s="35"/>
      <c r="E248" s="35"/>
      <c r="F248" s="33"/>
      <c r="G248" s="9"/>
    </row>
    <row r="249" spans="1:10" ht="11.25" customHeight="1" thickBot="1">
      <c r="G249" s="9"/>
    </row>
    <row r="250" spans="1:10" ht="13.5" thickBot="1">
      <c r="A250" s="60" t="s">
        <v>66</v>
      </c>
      <c r="B250" s="61" t="s">
        <v>67</v>
      </c>
      <c r="C250" s="61" t="s">
        <v>42</v>
      </c>
      <c r="D250" s="62" t="s">
        <v>243</v>
      </c>
      <c r="E250" s="62" t="s">
        <v>68</v>
      </c>
      <c r="F250" s="63" t="s">
        <v>69</v>
      </c>
      <c r="G250" s="9"/>
    </row>
    <row r="251" spans="1:10">
      <c r="A251" s="16" t="s">
        <v>75</v>
      </c>
      <c r="B251" s="17" t="s">
        <v>10</v>
      </c>
      <c r="C251" s="101">
        <v>8.3333333333333329E-2</v>
      </c>
      <c r="D251" s="87">
        <v>65</v>
      </c>
      <c r="E251" s="18">
        <f>C251*D251</f>
        <v>5.4166666666666661</v>
      </c>
      <c r="F251" s="55"/>
      <c r="G251" s="9"/>
    </row>
    <row r="252" spans="1:10">
      <c r="A252" s="16" t="s">
        <v>28</v>
      </c>
      <c r="B252" s="17" t="s">
        <v>10</v>
      </c>
      <c r="C252" s="313">
        <v>8.3333333333333329E-2</v>
      </c>
      <c r="D252" s="87">
        <v>20</v>
      </c>
      <c r="E252" s="18">
        <f>C252*D252</f>
        <v>1.6666666666666665</v>
      </c>
      <c r="F252" s="55"/>
      <c r="G252" s="9"/>
    </row>
    <row r="253" spans="1:10">
      <c r="A253" s="16" t="s">
        <v>29</v>
      </c>
      <c r="B253" s="17" t="s">
        <v>10</v>
      </c>
      <c r="C253" s="101">
        <v>8.3333333333333329E-2</v>
      </c>
      <c r="D253" s="87">
        <v>15</v>
      </c>
      <c r="E253" s="18">
        <f>C253*D253</f>
        <v>1.25</v>
      </c>
      <c r="F253" s="55"/>
      <c r="G253" s="9"/>
    </row>
    <row r="254" spans="1:10">
      <c r="A254" s="16" t="s">
        <v>59</v>
      </c>
      <c r="B254" s="17" t="s">
        <v>60</v>
      </c>
      <c r="C254" s="101">
        <v>1</v>
      </c>
      <c r="D254" s="87">
        <v>60</v>
      </c>
      <c r="E254" s="18">
        <f>C254*D254</f>
        <v>60</v>
      </c>
      <c r="F254" s="55"/>
      <c r="G254" s="9"/>
    </row>
    <row r="255" spans="1:10" ht="13.5" thickBot="1">
      <c r="A255" s="16" t="s">
        <v>62</v>
      </c>
      <c r="B255" s="17" t="s">
        <v>60</v>
      </c>
      <c r="C255" s="101">
        <v>1</v>
      </c>
      <c r="D255" s="87">
        <v>60</v>
      </c>
      <c r="E255" s="18">
        <f>C255*D255</f>
        <v>60</v>
      </c>
      <c r="F255" s="55"/>
      <c r="G255" s="9"/>
    </row>
    <row r="256" spans="1:10" ht="13.5" thickBot="1">
      <c r="A256" s="34"/>
      <c r="B256" s="34"/>
      <c r="C256" s="34"/>
      <c r="D256" s="34"/>
      <c r="E256" s="35"/>
      <c r="F256" s="21">
        <f>SUM(E251:E255)</f>
        <v>128.33333333333331</v>
      </c>
      <c r="G256" s="9"/>
    </row>
    <row r="257" spans="1:7" ht="11.25" customHeight="1" thickBot="1">
      <c r="G257" s="9"/>
    </row>
    <row r="258" spans="1:7" ht="13.5" thickBot="1">
      <c r="A258" s="24" t="s">
        <v>232</v>
      </c>
      <c r="B258" s="25"/>
      <c r="C258" s="25"/>
      <c r="D258" s="26"/>
      <c r="E258" s="27"/>
      <c r="F258" s="21">
        <f>+F256</f>
        <v>128.33333333333331</v>
      </c>
      <c r="G258" s="9"/>
    </row>
    <row r="259" spans="1:7" ht="11.25" customHeight="1" thickBot="1">
      <c r="G259" s="9"/>
    </row>
    <row r="260" spans="1:7" hidden="1">
      <c r="A260" s="34" t="s">
        <v>79</v>
      </c>
      <c r="B260" s="34"/>
      <c r="C260" s="34"/>
      <c r="D260" s="35"/>
      <c r="E260" s="35"/>
      <c r="F260" s="33"/>
    </row>
    <row r="261" spans="1:7" ht="11.25" hidden="1" customHeight="1" thickBot="1"/>
    <row r="262" spans="1:7" ht="13.5" hidden="1" thickBot="1">
      <c r="A262" s="60" t="s">
        <v>66</v>
      </c>
      <c r="B262" s="61" t="s">
        <v>67</v>
      </c>
      <c r="C262" s="61" t="s">
        <v>42</v>
      </c>
      <c r="D262" s="62" t="s">
        <v>243</v>
      </c>
      <c r="E262" s="62" t="s">
        <v>68</v>
      </c>
      <c r="F262" s="63" t="s">
        <v>69</v>
      </c>
    </row>
    <row r="263" spans="1:7" hidden="1">
      <c r="A263" s="16" t="s">
        <v>229</v>
      </c>
      <c r="B263" s="53" t="s">
        <v>60</v>
      </c>
      <c r="C263" s="69">
        <f>C175</f>
        <v>1</v>
      </c>
      <c r="D263" s="89"/>
      <c r="E263" s="18">
        <f>+D263*C263</f>
        <v>0</v>
      </c>
      <c r="F263" s="55"/>
    </row>
    <row r="264" spans="1:7" hidden="1">
      <c r="A264" s="16" t="s">
        <v>63</v>
      </c>
      <c r="B264" s="53" t="s">
        <v>8</v>
      </c>
      <c r="C264" s="155">
        <v>60</v>
      </c>
      <c r="D264" s="80">
        <f>SUM(E263:E263)</f>
        <v>0</v>
      </c>
      <c r="E264" s="80">
        <f>+D264/C264</f>
        <v>0</v>
      </c>
      <c r="F264" s="55"/>
    </row>
    <row r="265" spans="1:7" hidden="1">
      <c r="A265" s="16" t="s">
        <v>230</v>
      </c>
      <c r="B265" s="17" t="s">
        <v>10</v>
      </c>
      <c r="C265" s="69">
        <f>+C263</f>
        <v>1</v>
      </c>
      <c r="D265" s="89"/>
      <c r="E265" s="18">
        <f>C265*D265</f>
        <v>0</v>
      </c>
      <c r="F265" s="55"/>
    </row>
    <row r="266" spans="1:7" ht="13.5" hidden="1" thickBot="1">
      <c r="A266" s="16" t="s">
        <v>39</v>
      </c>
      <c r="B266" s="53" t="s">
        <v>8</v>
      </c>
      <c r="C266" s="155">
        <v>1</v>
      </c>
      <c r="D266" s="80">
        <f>+E265</f>
        <v>0</v>
      </c>
      <c r="E266" s="80">
        <f>+D266/C266</f>
        <v>0</v>
      </c>
      <c r="F266" s="55"/>
    </row>
    <row r="267" spans="1:7" ht="13.5" hidden="1" thickBot="1">
      <c r="A267" s="81"/>
      <c r="B267" s="81"/>
      <c r="C267" s="81"/>
      <c r="D267" s="124" t="s">
        <v>201</v>
      </c>
      <c r="E267" s="50">
        <f>$B$41</f>
        <v>0.18</v>
      </c>
      <c r="F267" s="82">
        <f>(E264+E266)*E267</f>
        <v>0</v>
      </c>
    </row>
    <row r="268" spans="1:7" s="51" customFormat="1" ht="11.25" hidden="1" customHeight="1" thickBot="1">
      <c r="A268" s="9"/>
      <c r="B268" s="9"/>
      <c r="C268" s="9"/>
      <c r="D268" s="10"/>
      <c r="E268" s="10"/>
      <c r="F268" s="10"/>
      <c r="G268" s="84"/>
    </row>
    <row r="269" spans="1:7" ht="13.5" thickBot="1">
      <c r="A269" s="24" t="s">
        <v>228</v>
      </c>
      <c r="B269" s="25"/>
      <c r="C269" s="25"/>
      <c r="D269" s="26"/>
      <c r="E269" s="27"/>
      <c r="F269" s="21">
        <f>+F267</f>
        <v>0</v>
      </c>
    </row>
    <row r="270" spans="1:7" ht="11.25" customHeight="1" thickBot="1"/>
    <row r="271" spans="1:7" ht="17.25" customHeight="1" thickBot="1">
      <c r="A271" s="24" t="s">
        <v>233</v>
      </c>
      <c r="B271" s="28"/>
      <c r="C271" s="28"/>
      <c r="D271" s="29"/>
      <c r="E271" s="30"/>
      <c r="F271" s="22">
        <f>+F133+F167+F246+F258+F269</f>
        <v>10576.248163285334</v>
      </c>
    </row>
    <row r="272" spans="1:7" ht="11.25" customHeight="1"/>
    <row r="273" spans="1:7">
      <c r="A273" s="11" t="s">
        <v>310</v>
      </c>
    </row>
    <row r="274" spans="1:7" ht="11.25" customHeight="1" thickBot="1"/>
    <row r="275" spans="1:7" ht="13.5" thickBot="1">
      <c r="A275" s="60" t="s">
        <v>66</v>
      </c>
      <c r="B275" s="61" t="s">
        <v>67</v>
      </c>
      <c r="C275" s="61" t="s">
        <v>42</v>
      </c>
      <c r="D275" s="62" t="s">
        <v>243</v>
      </c>
      <c r="E275" s="62" t="s">
        <v>68</v>
      </c>
      <c r="F275" s="63" t="s">
        <v>69</v>
      </c>
    </row>
    <row r="276" spans="1:7" ht="13.5" thickBot="1">
      <c r="A276" s="13" t="s">
        <v>38</v>
      </c>
      <c r="B276" s="14" t="s">
        <v>2</v>
      </c>
      <c r="C276" s="141">
        <v>23.78</v>
      </c>
      <c r="D276" s="15">
        <f>+F271</f>
        <v>10576.248163285334</v>
      </c>
      <c r="E276" s="15">
        <f>C276*D276/100</f>
        <v>2515.0318132292527</v>
      </c>
    </row>
    <row r="277" spans="1:7" ht="13.5" thickBot="1">
      <c r="F277" s="21">
        <f>+E276</f>
        <v>2515.0318132292527</v>
      </c>
    </row>
    <row r="278" spans="1:7" ht="11.25" customHeight="1" thickBot="1"/>
    <row r="279" spans="1:7" ht="13.5" thickBot="1">
      <c r="A279" s="24" t="s">
        <v>248</v>
      </c>
      <c r="B279" s="28"/>
      <c r="C279" s="28"/>
      <c r="D279" s="29"/>
      <c r="E279" s="30"/>
      <c r="F279" s="22">
        <f>F277</f>
        <v>2515.0318132292527</v>
      </c>
    </row>
    <row r="280" spans="1:7">
      <c r="A280" s="34"/>
      <c r="B280" s="34"/>
      <c r="C280" s="34"/>
      <c r="D280" s="35"/>
      <c r="E280" s="35"/>
      <c r="F280" s="33"/>
    </row>
    <row r="281" spans="1:7" ht="11.25" customHeight="1" thickBot="1"/>
    <row r="282" spans="1:7" ht="24.75" customHeight="1" thickBot="1">
      <c r="A282" s="24" t="s">
        <v>234</v>
      </c>
      <c r="B282" s="28"/>
      <c r="C282" s="28"/>
      <c r="D282" s="29"/>
      <c r="E282" s="30"/>
      <c r="F282" s="22">
        <f>F271+F279</f>
        <v>13091.279976514586</v>
      </c>
    </row>
    <row r="283" spans="1:7" ht="12.6" customHeight="1">
      <c r="A283" s="56"/>
      <c r="B283" s="56"/>
      <c r="C283" s="56"/>
      <c r="D283" s="57"/>
      <c r="E283" s="57"/>
      <c r="F283" s="57"/>
    </row>
    <row r="284" spans="1:7" ht="14.25">
      <c r="A284" s="8"/>
      <c r="B284" s="8"/>
      <c r="C284" s="8"/>
      <c r="D284" s="36"/>
      <c r="E284" s="36"/>
    </row>
    <row r="285" spans="1:7" ht="16.149999999999999" hidden="1" customHeight="1">
      <c r="A285" s="252" t="s">
        <v>227</v>
      </c>
      <c r="B285" s="253"/>
      <c r="C285" s="253"/>
      <c r="D285" s="254">
        <v>16</v>
      </c>
      <c r="E285" s="255" t="s">
        <v>27</v>
      </c>
      <c r="G285" s="10" t="s">
        <v>211</v>
      </c>
    </row>
    <row r="286" spans="1:7" ht="13.5" hidden="1" thickBot="1"/>
    <row r="287" spans="1:7" ht="25.5" hidden="1" customHeight="1" thickBot="1">
      <c r="A287" s="24" t="s">
        <v>73</v>
      </c>
      <c r="B287" s="25"/>
      <c r="C287" s="25"/>
      <c r="D287" s="26"/>
      <c r="E287" s="256" t="s">
        <v>34</v>
      </c>
      <c r="F287" s="257">
        <f>IFERROR(F282/D285,"-")</f>
        <v>818.20499853216165</v>
      </c>
      <c r="G287" s="10" t="s">
        <v>211</v>
      </c>
    </row>
    <row r="288" spans="1:7" ht="12.6" hidden="1" customHeight="1">
      <c r="A288" s="34"/>
      <c r="B288" s="34"/>
      <c r="C288" s="34"/>
      <c r="D288" s="35"/>
      <c r="E288" s="35"/>
      <c r="F288" s="35"/>
    </row>
    <row r="289" spans="1:7" s="4" customFormat="1" ht="9.75" hidden="1" customHeight="1">
      <c r="A289" s="39"/>
      <c r="B289" s="10"/>
      <c r="C289" s="10"/>
      <c r="D289" s="10"/>
      <c r="E289" s="10"/>
      <c r="F289" s="10"/>
      <c r="G289" s="6"/>
    </row>
    <row r="290" spans="1:7" s="4" customFormat="1" ht="9.75" hidden="1" customHeight="1">
      <c r="A290" s="39"/>
      <c r="B290" s="10"/>
      <c r="C290" s="10"/>
      <c r="D290" s="10"/>
      <c r="E290" s="10"/>
      <c r="F290" s="10"/>
      <c r="G290" s="6"/>
    </row>
    <row r="291" spans="1:7" s="4" customFormat="1" ht="9.75" hidden="1" customHeight="1">
      <c r="A291" s="39"/>
      <c r="B291" s="10"/>
      <c r="C291" s="10"/>
      <c r="D291" s="10"/>
      <c r="E291" s="10"/>
      <c r="F291" s="10"/>
      <c r="G291" s="6"/>
    </row>
    <row r="321" spans="4:7" ht="9" customHeight="1">
      <c r="D321" s="9"/>
      <c r="E321" s="9"/>
      <c r="F321" s="9"/>
      <c r="G321" s="9"/>
    </row>
  </sheetData>
  <mergeCells count="7">
    <mergeCell ref="A37:D37"/>
    <mergeCell ref="A14:C14"/>
    <mergeCell ref="A1:F1"/>
    <mergeCell ref="A2:F2"/>
    <mergeCell ref="A30:D30"/>
    <mergeCell ref="A4:F4"/>
    <mergeCell ref="A29:E29"/>
  </mergeCells>
  <phoneticPr fontId="9" type="noConversion"/>
  <hyperlinks>
    <hyperlink ref="A189" location="AbaRemun" display="3.1.2. Remuneração do Capital"/>
    <hyperlink ref="A173" location="AbaDeprec" display="3.1.1. Depreciação"/>
  </hyperlinks>
  <pageMargins left="0.9055118110236221" right="0.51181102362204722" top="0.74803149606299213" bottom="0.74803149606299213" header="0.31496062992125984" footer="0.31496062992125984"/>
  <pageSetup paperSize="9" scale="76" fitToHeight="0" orientation="portrait" r:id="rId1"/>
  <headerFooter alignWithMargins="0">
    <oddFooter>&amp;R&amp;P de &amp;N</oddFooter>
  </headerFooter>
  <rowBreaks count="4" manualBreakCount="4">
    <brk id="42" max="5" man="1"/>
    <brk id="112" max="5" man="1"/>
    <brk id="168" max="5" man="1"/>
    <brk id="235" max="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68"/>
  <sheetViews>
    <sheetView topLeftCell="A22" workbookViewId="0">
      <selection activeCell="C2" sqref="A1:C2"/>
    </sheetView>
  </sheetViews>
  <sheetFormatPr defaultRowHeight="12.75"/>
  <cols>
    <col min="1" max="1" width="13.5703125" style="1" customWidth="1"/>
    <col min="2" max="2" width="39.5703125" style="1" bestFit="1" customWidth="1"/>
    <col min="3" max="3" width="14.5703125" style="1" customWidth="1"/>
    <col min="4" max="4" width="37.28515625" style="158" customWidth="1"/>
    <col min="5" max="10" width="9.140625" style="1"/>
    <col min="11" max="11" width="11" style="1" bestFit="1" customWidth="1"/>
    <col min="12" max="16384" width="9.140625" style="1"/>
  </cols>
  <sheetData>
    <row r="1" spans="1:12">
      <c r="A1" s="11"/>
    </row>
    <row r="2" spans="1:12">
      <c r="A2" s="140"/>
    </row>
    <row r="3" spans="1:12" s="4" customFormat="1" ht="15.6" customHeight="1">
      <c r="B3" s="139"/>
      <c r="C3" s="139"/>
      <c r="D3" s="139"/>
      <c r="E3" s="139"/>
      <c r="F3" s="139"/>
      <c r="G3" s="6"/>
    </row>
    <row r="4" spans="1:12" s="4" customFormat="1" ht="15.6" customHeight="1">
      <c r="A4" s="304"/>
      <c r="B4" s="139"/>
      <c r="C4" s="139"/>
      <c r="D4" s="139"/>
      <c r="E4" s="139"/>
      <c r="F4" s="139"/>
      <c r="G4" s="6"/>
    </row>
    <row r="5" spans="1:12" s="4" customFormat="1" ht="16.5" customHeight="1">
      <c r="A5" s="304"/>
      <c r="B5" s="5"/>
      <c r="C5" s="5"/>
      <c r="D5" s="6"/>
      <c r="E5" s="6"/>
      <c r="F5" s="6"/>
      <c r="G5" s="6"/>
    </row>
    <row r="6" spans="1:12" ht="13.5" thickBot="1"/>
    <row r="7" spans="1:12" ht="18">
      <c r="A7" s="330" t="s">
        <v>237</v>
      </c>
      <c r="B7" s="331"/>
      <c r="C7" s="332"/>
      <c r="D7" s="150"/>
      <c r="E7" s="150"/>
      <c r="F7" s="150"/>
    </row>
    <row r="8" spans="1:12" ht="14.25">
      <c r="A8" s="169" t="s">
        <v>147</v>
      </c>
      <c r="B8" s="170" t="s">
        <v>148</v>
      </c>
      <c r="C8" s="171" t="s">
        <v>149</v>
      </c>
      <c r="D8" s="172"/>
    </row>
    <row r="9" spans="1:12" ht="14.25">
      <c r="A9" s="169" t="s">
        <v>150</v>
      </c>
      <c r="B9" s="170" t="s">
        <v>43</v>
      </c>
      <c r="C9" s="173">
        <v>0.2</v>
      </c>
      <c r="D9" s="172"/>
      <c r="F9" s="158"/>
      <c r="G9" s="158"/>
      <c r="H9" s="158"/>
      <c r="I9" s="158"/>
      <c r="J9" s="158"/>
      <c r="K9" s="158"/>
      <c r="L9" s="158"/>
    </row>
    <row r="10" spans="1:12" ht="14.25">
      <c r="A10" s="169" t="s">
        <v>151</v>
      </c>
      <c r="B10" s="170" t="s">
        <v>152</v>
      </c>
      <c r="C10" s="173">
        <v>1.4999999999999999E-2</v>
      </c>
      <c r="D10" s="172"/>
      <c r="F10" s="158"/>
      <c r="G10" s="158"/>
      <c r="H10" s="158"/>
      <c r="I10" s="158"/>
      <c r="J10" s="158"/>
      <c r="K10" s="158"/>
      <c r="L10" s="158"/>
    </row>
    <row r="11" spans="1:12" ht="14.25">
      <c r="A11" s="169" t="s">
        <v>153</v>
      </c>
      <c r="B11" s="170" t="s">
        <v>154</v>
      </c>
      <c r="C11" s="173">
        <v>0.01</v>
      </c>
      <c r="D11" s="172"/>
      <c r="F11" s="158"/>
      <c r="G11" s="158"/>
      <c r="H11" s="158"/>
      <c r="I11" s="158"/>
      <c r="J11" s="158"/>
      <c r="K11" s="158"/>
      <c r="L11" s="158"/>
    </row>
    <row r="12" spans="1:12" ht="14.25">
      <c r="A12" s="169" t="s">
        <v>155</v>
      </c>
      <c r="B12" s="170" t="s">
        <v>156</v>
      </c>
      <c r="C12" s="173">
        <v>2E-3</v>
      </c>
      <c r="D12" s="172"/>
      <c r="F12" s="158"/>
      <c r="G12" s="158"/>
      <c r="H12" s="158"/>
      <c r="I12" s="158"/>
      <c r="J12" s="158"/>
      <c r="K12" s="158"/>
      <c r="L12" s="158"/>
    </row>
    <row r="13" spans="1:12" ht="14.25">
      <c r="A13" s="169" t="s">
        <v>157</v>
      </c>
      <c r="B13" s="170" t="s">
        <v>158</v>
      </c>
      <c r="C13" s="173">
        <v>6.0000000000000001E-3</v>
      </c>
      <c r="D13" s="172"/>
      <c r="F13" s="158"/>
      <c r="G13" s="158"/>
      <c r="H13" s="158"/>
      <c r="I13" s="158"/>
      <c r="J13" s="158"/>
      <c r="K13" s="158"/>
      <c r="L13" s="158"/>
    </row>
    <row r="14" spans="1:12" ht="14.25">
      <c r="A14" s="169" t="s">
        <v>159</v>
      </c>
      <c r="B14" s="170" t="s">
        <v>160</v>
      </c>
      <c r="C14" s="173">
        <v>2.5000000000000001E-2</v>
      </c>
      <c r="D14" s="172"/>
      <c r="F14" s="158"/>
      <c r="G14" s="158"/>
      <c r="H14" s="158"/>
      <c r="I14" s="158"/>
      <c r="J14" s="158"/>
      <c r="K14" s="158"/>
      <c r="L14" s="158"/>
    </row>
    <row r="15" spans="1:12" ht="14.25">
      <c r="A15" s="169" t="s">
        <v>161</v>
      </c>
      <c r="B15" s="170" t="s">
        <v>162</v>
      </c>
      <c r="C15" s="173">
        <v>0.03</v>
      </c>
      <c r="D15" s="172"/>
      <c r="F15" s="158"/>
      <c r="G15" s="158"/>
      <c r="H15" s="158"/>
      <c r="I15" s="158"/>
      <c r="J15" s="158"/>
      <c r="K15" s="158"/>
      <c r="L15" s="158"/>
    </row>
    <row r="16" spans="1:12" ht="14.25">
      <c r="A16" s="169" t="s">
        <v>163</v>
      </c>
      <c r="B16" s="170" t="s">
        <v>44</v>
      </c>
      <c r="C16" s="173">
        <v>0.08</v>
      </c>
      <c r="D16" s="174"/>
      <c r="F16" s="158"/>
      <c r="G16" s="158"/>
      <c r="H16" s="158"/>
      <c r="I16" s="158"/>
      <c r="J16" s="158"/>
      <c r="K16" s="158"/>
      <c r="L16" s="158"/>
    </row>
    <row r="17" spans="1:12" ht="15">
      <c r="A17" s="169" t="s">
        <v>164</v>
      </c>
      <c r="B17" s="175" t="s">
        <v>165</v>
      </c>
      <c r="C17" s="176">
        <f>SUM(C9:C16)</f>
        <v>0.36800000000000005</v>
      </c>
      <c r="D17" s="174"/>
      <c r="F17" s="158"/>
      <c r="G17" s="158"/>
      <c r="H17" s="158"/>
      <c r="I17" s="158"/>
      <c r="J17" s="158"/>
      <c r="K17" s="158"/>
      <c r="L17" s="158"/>
    </row>
    <row r="18" spans="1:12" ht="15">
      <c r="A18" s="177"/>
      <c r="B18" s="178"/>
      <c r="C18" s="179"/>
      <c r="D18" s="174"/>
      <c r="F18" s="158"/>
      <c r="G18" s="158"/>
      <c r="H18" s="158"/>
      <c r="I18" s="158"/>
      <c r="J18" s="158"/>
      <c r="K18" s="158"/>
      <c r="L18" s="158"/>
    </row>
    <row r="19" spans="1:12" ht="14.25">
      <c r="A19" s="169" t="s">
        <v>166</v>
      </c>
      <c r="B19" s="180" t="s">
        <v>167</v>
      </c>
      <c r="C19" s="173">
        <f>ROUND(IF('3.CAGED'!C28&gt;24,(1-12/'3.CAGED'!C28)*0.1111,0.1111-C28),4)</f>
        <v>6.1899999999999997E-2</v>
      </c>
      <c r="D19" s="174"/>
      <c r="F19" s="158"/>
      <c r="G19" s="158"/>
      <c r="H19" s="158"/>
      <c r="I19" s="158"/>
      <c r="J19" s="158"/>
      <c r="K19" s="158"/>
      <c r="L19" s="158"/>
    </row>
    <row r="20" spans="1:12" ht="14.25">
      <c r="A20" s="169" t="s">
        <v>168</v>
      </c>
      <c r="B20" s="180" t="s">
        <v>169</v>
      </c>
      <c r="C20" s="173">
        <f>ROUND('3.CAGED'!C32/'3.CAGED'!C29,4)</f>
        <v>8.3299999999999999E-2</v>
      </c>
      <c r="D20" s="174"/>
      <c r="F20" s="158"/>
      <c r="G20" s="158"/>
      <c r="H20" s="158"/>
      <c r="I20" s="158"/>
      <c r="J20" s="158"/>
      <c r="K20" s="158"/>
      <c r="L20" s="158"/>
    </row>
    <row r="21" spans="1:12" ht="14.25">
      <c r="A21" s="169" t="s">
        <v>225</v>
      </c>
      <c r="B21" s="180" t="s">
        <v>171</v>
      </c>
      <c r="C21" s="173">
        <v>5.9999999999999995E-4</v>
      </c>
      <c r="D21" s="174"/>
      <c r="F21" s="158"/>
      <c r="G21" s="158"/>
      <c r="H21" s="158"/>
      <c r="I21" s="158"/>
      <c r="J21" s="158"/>
      <c r="K21" s="158"/>
      <c r="L21" s="158"/>
    </row>
    <row r="22" spans="1:12" ht="14.25">
      <c r="A22" s="169" t="s">
        <v>170</v>
      </c>
      <c r="B22" s="180" t="s">
        <v>173</v>
      </c>
      <c r="C22" s="173">
        <v>8.2000000000000007E-3</v>
      </c>
      <c r="D22" s="174"/>
      <c r="F22" s="158"/>
      <c r="G22" s="158"/>
      <c r="H22" s="158"/>
      <c r="I22" s="158"/>
      <c r="J22" s="158"/>
      <c r="K22" s="158"/>
      <c r="L22" s="158"/>
    </row>
    <row r="23" spans="1:12" ht="14.25">
      <c r="A23" s="169" t="s">
        <v>172</v>
      </c>
      <c r="B23" s="180" t="s">
        <v>175</v>
      </c>
      <c r="C23" s="173">
        <v>3.0999999999999999E-3</v>
      </c>
      <c r="D23" s="174"/>
      <c r="F23" s="158"/>
      <c r="G23" s="158"/>
      <c r="H23" s="158"/>
      <c r="I23" s="158"/>
      <c r="J23" s="158"/>
      <c r="K23" s="158"/>
      <c r="L23" s="158"/>
    </row>
    <row r="24" spans="1:12" ht="14.25">
      <c r="A24" s="169" t="s">
        <v>174</v>
      </c>
      <c r="B24" s="180" t="s">
        <v>176</v>
      </c>
      <c r="C24" s="173">
        <v>1.66E-2</v>
      </c>
      <c r="D24" s="174"/>
      <c r="F24" s="158"/>
      <c r="G24" s="158"/>
      <c r="H24" s="158"/>
      <c r="I24" s="158"/>
      <c r="J24" s="158"/>
      <c r="K24" s="158"/>
      <c r="L24" s="158"/>
    </row>
    <row r="25" spans="1:12" ht="15">
      <c r="A25" s="169" t="s">
        <v>177</v>
      </c>
      <c r="B25" s="175" t="s">
        <v>178</v>
      </c>
      <c r="C25" s="176">
        <f>SUM(C19:C24)</f>
        <v>0.17369999999999999</v>
      </c>
      <c r="D25" s="181"/>
      <c r="F25" s="158"/>
      <c r="G25" s="158"/>
      <c r="H25" s="158"/>
      <c r="I25" s="158"/>
      <c r="J25" s="158"/>
      <c r="K25" s="158"/>
      <c r="L25" s="158"/>
    </row>
    <row r="26" spans="1:12" ht="15">
      <c r="A26" s="177"/>
      <c r="B26" s="178"/>
      <c r="C26" s="179"/>
      <c r="D26" s="181"/>
      <c r="F26" s="158"/>
      <c r="G26" s="158"/>
      <c r="H26" s="158"/>
      <c r="I26" s="158"/>
      <c r="J26" s="158"/>
      <c r="K26" s="158"/>
      <c r="L26" s="158"/>
    </row>
    <row r="27" spans="1:12" ht="14.25">
      <c r="A27" s="169" t="s">
        <v>179</v>
      </c>
      <c r="B27" s="170" t="s">
        <v>180</v>
      </c>
      <c r="C27" s="173">
        <f>ROUND(('3.CAGED'!C33) *'3.CAGED'!C26/'3.CAGED'!C29,4)</f>
        <v>2.5600000000000001E-2</v>
      </c>
      <c r="D27" s="174"/>
      <c r="E27" s="182"/>
      <c r="F27" s="158"/>
      <c r="G27" s="158"/>
      <c r="H27" s="158"/>
      <c r="I27" s="158"/>
      <c r="J27" s="158"/>
      <c r="K27" s="158"/>
      <c r="L27" s="158"/>
    </row>
    <row r="28" spans="1:12" ht="14.25">
      <c r="A28" s="169" t="s">
        <v>224</v>
      </c>
      <c r="B28" s="170" t="s">
        <v>182</v>
      </c>
      <c r="C28" s="173">
        <f>ROUND(IF('3.CAGED'!C28&gt;12,12/'3.CAGED'!C28*0.1111,0.1111),4)</f>
        <v>4.9200000000000001E-2</v>
      </c>
      <c r="D28" s="174"/>
      <c r="F28" s="158"/>
      <c r="G28" s="158"/>
      <c r="H28" s="183"/>
      <c r="I28" s="158"/>
      <c r="J28" s="158"/>
      <c r="K28" s="158"/>
      <c r="L28" s="158"/>
    </row>
    <row r="29" spans="1:12" ht="14.25">
      <c r="A29" s="169" t="s">
        <v>181</v>
      </c>
      <c r="B29" s="170" t="s">
        <v>184</v>
      </c>
      <c r="C29" s="173">
        <f>C27*C28</f>
        <v>1.2595200000000001E-3</v>
      </c>
      <c r="D29" s="174"/>
      <c r="E29" s="182"/>
      <c r="F29" s="158"/>
      <c r="G29" s="158"/>
      <c r="H29" s="158"/>
      <c r="I29" s="158"/>
      <c r="J29" s="158"/>
      <c r="K29" s="158"/>
      <c r="L29" s="158"/>
    </row>
    <row r="30" spans="1:12" ht="14.25">
      <c r="A30" s="169" t="s">
        <v>183</v>
      </c>
      <c r="B30" s="170" t="s">
        <v>186</v>
      </c>
      <c r="C30" s="173">
        <f>ROUND(('3.CAGED'!C29+'3.CAGED'!C30+'3.CAGED'!C32)/'3.CAGED'!C27*'3.CAGED'!C34*'3.CAGED'!C35*'3.CAGED'!C26/'3.CAGED'!C29,4)</f>
        <v>2.0500000000000001E-2</v>
      </c>
      <c r="D30" s="174"/>
      <c r="F30" s="158"/>
      <c r="G30" s="184"/>
      <c r="H30" s="158"/>
      <c r="I30" s="158"/>
      <c r="J30" s="158"/>
      <c r="K30" s="158"/>
      <c r="L30" s="158"/>
    </row>
    <row r="31" spans="1:12" ht="14.25">
      <c r="A31" s="169" t="s">
        <v>185</v>
      </c>
      <c r="B31" s="170" t="s">
        <v>187</v>
      </c>
      <c r="C31" s="173">
        <f>ROUND(('3.CAGED'!C31/'3.CAGED'!C29)*'3.CAGED'!C26/12,4)</f>
        <v>1.8E-3</v>
      </c>
      <c r="D31" s="174"/>
      <c r="F31" s="158"/>
      <c r="G31" s="158"/>
      <c r="H31" s="158"/>
      <c r="I31" s="158"/>
      <c r="J31" s="158"/>
      <c r="K31" s="158"/>
      <c r="L31" s="158"/>
    </row>
    <row r="32" spans="1:12" ht="15">
      <c r="A32" s="169" t="s">
        <v>188</v>
      </c>
      <c r="B32" s="175" t="s">
        <v>189</v>
      </c>
      <c r="C32" s="176">
        <f>SUM(C27:C31)</f>
        <v>9.8359520000000006E-2</v>
      </c>
      <c r="D32" s="181"/>
      <c r="F32" s="158"/>
      <c r="G32" s="158"/>
      <c r="H32" s="158"/>
      <c r="I32" s="158"/>
      <c r="J32" s="158"/>
      <c r="K32" s="158"/>
      <c r="L32" s="158"/>
    </row>
    <row r="33" spans="1:12" ht="15">
      <c r="A33" s="177"/>
      <c r="B33" s="178"/>
      <c r="C33" s="179"/>
      <c r="D33" s="181"/>
      <c r="F33" s="158"/>
      <c r="G33" s="158"/>
      <c r="H33" s="158"/>
      <c r="I33" s="158"/>
      <c r="J33" s="158"/>
      <c r="K33" s="158"/>
      <c r="L33" s="158"/>
    </row>
    <row r="34" spans="1:12" ht="14.25">
      <c r="A34" s="169" t="s">
        <v>190</v>
      </c>
      <c r="B34" s="170" t="s">
        <v>191</v>
      </c>
      <c r="C34" s="173">
        <f>ROUND(C17*C25,4)</f>
        <v>6.3899999999999998E-2</v>
      </c>
      <c r="D34" s="174"/>
      <c r="F34" s="158"/>
      <c r="G34" s="158"/>
      <c r="H34" s="158"/>
      <c r="I34" s="158"/>
      <c r="J34" s="158"/>
      <c r="K34" s="158"/>
      <c r="L34" s="158"/>
    </row>
    <row r="35" spans="1:12" ht="28.5">
      <c r="A35" s="169" t="s">
        <v>192</v>
      </c>
      <c r="B35" s="185" t="s">
        <v>294</v>
      </c>
      <c r="C35" s="173">
        <f>ROUND((C27*C16),4)</f>
        <v>2E-3</v>
      </c>
      <c r="D35" s="174"/>
      <c r="F35" s="158"/>
      <c r="G35" s="158"/>
      <c r="H35" s="158"/>
      <c r="I35" s="158"/>
      <c r="J35" s="158"/>
      <c r="K35" s="158"/>
      <c r="L35" s="158"/>
    </row>
    <row r="36" spans="1:12" ht="15">
      <c r="A36" s="169" t="s">
        <v>193</v>
      </c>
      <c r="B36" s="175" t="s">
        <v>194</v>
      </c>
      <c r="C36" s="176">
        <f>SUM(C34:C35)</f>
        <v>6.59E-2</v>
      </c>
      <c r="D36" s="186"/>
      <c r="F36" s="158"/>
      <c r="G36" s="158"/>
      <c r="H36" s="158"/>
      <c r="I36" s="158"/>
      <c r="J36" s="158"/>
      <c r="K36" s="158"/>
      <c r="L36" s="158"/>
    </row>
    <row r="37" spans="1:12" ht="15.75" thickBot="1">
      <c r="A37" s="187"/>
      <c r="B37" s="188" t="s">
        <v>195</v>
      </c>
      <c r="C37" s="189">
        <f>C36+C32+C25+C17</f>
        <v>0.70595951999999995</v>
      </c>
      <c r="D37" s="186"/>
      <c r="F37" s="158"/>
      <c r="G37" s="158"/>
      <c r="H37" s="158"/>
      <c r="I37" s="158"/>
      <c r="J37" s="158"/>
      <c r="K37" s="158"/>
      <c r="L37" s="158"/>
    </row>
    <row r="38" spans="1:12" ht="15">
      <c r="A38" s="174"/>
      <c r="B38" s="190"/>
      <c r="C38" s="191"/>
      <c r="D38" s="192"/>
      <c r="F38" s="158"/>
      <c r="G38" s="158"/>
      <c r="H38" s="158"/>
      <c r="I38" s="158"/>
      <c r="J38" s="158"/>
      <c r="K38" s="158"/>
      <c r="L38" s="158"/>
    </row>
    <row r="39" spans="1:12" ht="14.25">
      <c r="A39" s="174"/>
      <c r="B39" s="174"/>
      <c r="C39" s="193"/>
      <c r="D39" s="194"/>
      <c r="F39" s="158"/>
      <c r="G39" s="158"/>
      <c r="H39" s="158"/>
      <c r="I39" s="158"/>
      <c r="J39" s="158"/>
      <c r="K39" s="158"/>
      <c r="L39" s="158"/>
    </row>
    <row r="40" spans="1:12" ht="14.25">
      <c r="A40" s="172"/>
      <c r="B40" s="172"/>
      <c r="C40" s="195"/>
      <c r="D40" s="172"/>
      <c r="F40" s="158"/>
      <c r="G40" s="158"/>
      <c r="H40" s="158"/>
      <c r="I40" s="158"/>
      <c r="J40" s="158"/>
      <c r="K40" s="158"/>
      <c r="L40" s="158"/>
    </row>
    <row r="41" spans="1:12" ht="14.25">
      <c r="A41" s="172"/>
      <c r="B41" s="172"/>
      <c r="C41" s="195"/>
      <c r="D41" s="172"/>
      <c r="F41" s="158"/>
      <c r="G41" s="158"/>
      <c r="H41" s="158"/>
      <c r="I41" s="158"/>
      <c r="J41" s="158"/>
      <c r="K41" s="158"/>
      <c r="L41" s="158"/>
    </row>
    <row r="42" spans="1:12" ht="14.25">
      <c r="A42" s="172"/>
      <c r="B42" s="172"/>
      <c r="C42" s="195"/>
      <c r="D42" s="172"/>
      <c r="F42" s="158"/>
      <c r="G42" s="158"/>
      <c r="H42" s="158"/>
      <c r="I42" s="158"/>
      <c r="J42" s="158"/>
      <c r="K42" s="158"/>
      <c r="L42" s="158"/>
    </row>
    <row r="43" spans="1:12" ht="15">
      <c r="A43" s="172"/>
      <c r="B43" s="196"/>
      <c r="C43" s="197"/>
      <c r="D43" s="172"/>
      <c r="F43" s="158"/>
      <c r="G43" s="158"/>
      <c r="H43" s="158"/>
      <c r="I43" s="158"/>
      <c r="J43" s="158"/>
      <c r="K43" s="158"/>
      <c r="L43" s="158"/>
    </row>
    <row r="44" spans="1:12" ht="15">
      <c r="A44" s="186"/>
      <c r="B44" s="196"/>
      <c r="C44" s="197"/>
      <c r="D44" s="186"/>
      <c r="E44" s="158"/>
      <c r="F44" s="158"/>
      <c r="G44" s="158"/>
      <c r="H44" s="158"/>
      <c r="I44" s="158"/>
      <c r="J44" s="158"/>
      <c r="K44" s="158"/>
      <c r="L44" s="158"/>
    </row>
    <row r="45" spans="1:12" ht="16.5">
      <c r="A45" s="198"/>
      <c r="B45" s="158"/>
      <c r="C45" s="158"/>
      <c r="E45" s="158"/>
      <c r="F45" s="158"/>
      <c r="G45" s="158"/>
      <c r="H45" s="158"/>
      <c r="I45" s="158"/>
      <c r="J45" s="158"/>
      <c r="K45" s="158"/>
      <c r="L45" s="158"/>
    </row>
    <row r="46" spans="1:12">
      <c r="A46" s="199"/>
      <c r="B46" s="200"/>
      <c r="C46" s="200"/>
      <c r="E46" s="158"/>
      <c r="F46" s="158"/>
      <c r="G46" s="158"/>
      <c r="H46" s="158"/>
      <c r="I46" s="158"/>
      <c r="J46" s="158"/>
      <c r="K46" s="158"/>
      <c r="L46" s="158"/>
    </row>
    <row r="47" spans="1:12" ht="14.25">
      <c r="A47" s="172"/>
      <c r="B47" s="201"/>
      <c r="C47" s="200"/>
      <c r="E47" s="158"/>
      <c r="F47" s="158"/>
      <c r="G47" s="158"/>
      <c r="H47" s="158"/>
      <c r="I47" s="158"/>
      <c r="J47" s="158"/>
      <c r="K47" s="158"/>
      <c r="L47" s="158"/>
    </row>
    <row r="48" spans="1:12" ht="14.25">
      <c r="A48" s="172"/>
      <c r="B48" s="201"/>
      <c r="C48" s="172"/>
      <c r="E48" s="158"/>
      <c r="F48" s="158"/>
      <c r="G48" s="158"/>
      <c r="H48" s="158"/>
      <c r="I48" s="158"/>
      <c r="J48" s="158"/>
      <c r="K48" s="158"/>
      <c r="L48" s="158"/>
    </row>
    <row r="49" spans="1:12" ht="14.25">
      <c r="A49" s="172"/>
      <c r="B49" s="195"/>
      <c r="C49" s="200"/>
      <c r="E49" s="158"/>
      <c r="F49" s="158"/>
      <c r="G49" s="158"/>
      <c r="H49" s="158"/>
      <c r="I49" s="158"/>
      <c r="J49" s="158"/>
      <c r="K49" s="158"/>
      <c r="L49" s="158"/>
    </row>
    <row r="50" spans="1:12" ht="14.25">
      <c r="A50" s="172"/>
      <c r="B50" s="201"/>
      <c r="C50" s="172"/>
      <c r="E50" s="158"/>
      <c r="F50" s="158"/>
      <c r="G50" s="158"/>
      <c r="H50" s="158"/>
      <c r="I50" s="158"/>
      <c r="J50" s="158"/>
      <c r="K50" s="158"/>
      <c r="L50" s="158"/>
    </row>
    <row r="51" spans="1:12" ht="14.25">
      <c r="A51" s="172"/>
      <c r="B51" s="195"/>
      <c r="C51" s="200"/>
      <c r="E51" s="158"/>
      <c r="F51" s="158"/>
      <c r="G51" s="158"/>
      <c r="H51" s="158"/>
      <c r="I51" s="158"/>
      <c r="J51" s="158"/>
      <c r="K51" s="158"/>
      <c r="L51" s="158"/>
    </row>
    <row r="52" spans="1:12" ht="14.25">
      <c r="A52" s="172"/>
      <c r="B52" s="201"/>
      <c r="C52" s="172"/>
      <c r="E52" s="158"/>
      <c r="F52" s="158"/>
      <c r="G52" s="158"/>
      <c r="H52" s="158"/>
      <c r="I52" s="158"/>
      <c r="J52" s="158"/>
      <c r="K52" s="158"/>
      <c r="L52" s="158"/>
    </row>
    <row r="53" spans="1:12" ht="14.25">
      <c r="A53" s="172"/>
      <c r="B53" s="195"/>
      <c r="C53" s="200"/>
      <c r="E53" s="158"/>
      <c r="F53" s="158"/>
      <c r="G53" s="158"/>
      <c r="H53" s="158"/>
      <c r="I53" s="158"/>
      <c r="J53" s="158"/>
      <c r="K53" s="158"/>
      <c r="L53" s="158"/>
    </row>
    <row r="54" spans="1:12" ht="14.25">
      <c r="A54" s="172"/>
      <c r="B54" s="201"/>
      <c r="C54" s="172"/>
      <c r="E54" s="158"/>
      <c r="F54" s="158"/>
      <c r="G54" s="158"/>
      <c r="H54" s="158"/>
      <c r="I54" s="158"/>
      <c r="J54" s="158"/>
      <c r="K54" s="158"/>
      <c r="L54" s="158"/>
    </row>
    <row r="55" spans="1:12" ht="14.25">
      <c r="A55" s="172"/>
      <c r="B55" s="195"/>
      <c r="C55" s="200"/>
      <c r="E55" s="158"/>
      <c r="F55" s="158"/>
      <c r="G55" s="158"/>
      <c r="H55" s="158"/>
      <c r="I55" s="158"/>
      <c r="J55" s="158"/>
      <c r="K55" s="158"/>
      <c r="L55" s="158"/>
    </row>
    <row r="56" spans="1:12" ht="16.5">
      <c r="A56" s="198"/>
      <c r="B56" s="158"/>
      <c r="C56" s="158"/>
      <c r="E56" s="158"/>
      <c r="F56" s="158"/>
      <c r="G56" s="158"/>
      <c r="H56" s="158"/>
      <c r="I56" s="158"/>
      <c r="J56" s="158"/>
      <c r="K56" s="158"/>
      <c r="L56" s="158"/>
    </row>
    <row r="57" spans="1:12">
      <c r="A57" s="158"/>
      <c r="B57" s="158"/>
      <c r="C57" s="158"/>
      <c r="E57" s="158"/>
      <c r="F57" s="158"/>
      <c r="G57" s="158"/>
      <c r="H57" s="158"/>
      <c r="I57" s="158"/>
      <c r="J57" s="158"/>
      <c r="K57" s="158"/>
      <c r="L57" s="158"/>
    </row>
    <row r="58" spans="1:12">
      <c r="A58" s="158"/>
      <c r="B58" s="158"/>
      <c r="C58" s="158"/>
      <c r="E58" s="158"/>
      <c r="F58" s="158"/>
      <c r="G58" s="158"/>
      <c r="H58" s="158"/>
      <c r="I58" s="158"/>
      <c r="J58" s="158"/>
      <c r="K58" s="158"/>
      <c r="L58" s="158"/>
    </row>
    <row r="59" spans="1:12">
      <c r="A59" s="202"/>
      <c r="B59" s="158"/>
      <c r="C59" s="158"/>
      <c r="E59" s="158"/>
      <c r="F59" s="158"/>
      <c r="G59" s="158"/>
      <c r="H59" s="158"/>
      <c r="I59" s="158"/>
      <c r="J59" s="158"/>
      <c r="K59" s="158"/>
      <c r="L59" s="158"/>
    </row>
    <row r="60" spans="1:12">
      <c r="A60" s="158"/>
      <c r="B60" s="158"/>
      <c r="C60" s="158"/>
      <c r="E60" s="158"/>
    </row>
    <row r="61" spans="1:12">
      <c r="A61" s="158"/>
      <c r="B61" s="158"/>
      <c r="C61" s="158"/>
      <c r="E61" s="158"/>
    </row>
    <row r="62" spans="1:12">
      <c r="A62" s="158"/>
      <c r="B62" s="158"/>
      <c r="C62" s="158"/>
      <c r="E62" s="158"/>
    </row>
    <row r="63" spans="1:12">
      <c r="A63" s="158"/>
      <c r="B63" s="158"/>
      <c r="C63" s="158"/>
      <c r="E63" s="158"/>
    </row>
    <row r="64" spans="1:12">
      <c r="A64" s="158"/>
      <c r="B64" s="158"/>
      <c r="C64" s="158"/>
      <c r="E64" s="158"/>
    </row>
    <row r="65" spans="1:5">
      <c r="A65" s="158"/>
      <c r="B65" s="158"/>
      <c r="C65" s="158"/>
      <c r="E65" s="158"/>
    </row>
    <row r="66" spans="1:5">
      <c r="A66" s="158"/>
      <c r="B66" s="158"/>
      <c r="C66" s="158"/>
      <c r="E66" s="158"/>
    </row>
    <row r="67" spans="1:5">
      <c r="A67" s="158"/>
      <c r="B67" s="158"/>
      <c r="C67" s="158"/>
      <c r="E67" s="158"/>
    </row>
    <row r="68" spans="1:5">
      <c r="A68" s="158"/>
      <c r="B68" s="158"/>
      <c r="C68" s="158"/>
      <c r="E68" s="158"/>
    </row>
  </sheetData>
  <mergeCells count="1">
    <mergeCell ref="A7:C7"/>
  </mergeCells>
  <pageMargins left="0.90551181102362199" right="0.51181102362204722" top="0.74803149606299213" bottom="0.74803149606299213" header="0.31496062992125984" footer="0.31496062992125984"/>
  <pageSetup paperSize="9" orientation="portrait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5"/>
  <sheetViews>
    <sheetView topLeftCell="A16" workbookViewId="0">
      <selection activeCell="E19" sqref="E19"/>
    </sheetView>
  </sheetViews>
  <sheetFormatPr defaultRowHeight="12.75"/>
  <cols>
    <col min="1" max="1" width="8.5703125" style="1" customWidth="1"/>
    <col min="2" max="2" width="67.140625" style="1" customWidth="1"/>
    <col min="3" max="3" width="13.7109375" style="1" customWidth="1"/>
    <col min="4" max="4" width="10.28515625" style="1" customWidth="1"/>
    <col min="5" max="5" width="13.7109375" style="1" customWidth="1"/>
    <col min="6" max="16384" width="9.140625" style="1"/>
  </cols>
  <sheetData>
    <row r="1" spans="1:3">
      <c r="A1" s="108" t="s">
        <v>249</v>
      </c>
    </row>
    <row r="3" spans="1:3">
      <c r="A3" s="306" t="s">
        <v>306</v>
      </c>
    </row>
    <row r="5" spans="1:3">
      <c r="A5" s="306" t="s">
        <v>305</v>
      </c>
    </row>
    <row r="6" spans="1:3" ht="13.5" thickBot="1"/>
    <row r="7" spans="1:3" ht="18">
      <c r="B7" s="333" t="s">
        <v>235</v>
      </c>
      <c r="C7" s="334"/>
    </row>
    <row r="8" spans="1:3" ht="15">
      <c r="A8" s="158"/>
      <c r="B8" s="157" t="s">
        <v>212</v>
      </c>
      <c r="C8" s="203"/>
    </row>
    <row r="9" spans="1:3" ht="15">
      <c r="A9" s="158"/>
      <c r="B9" s="159" t="s">
        <v>131</v>
      </c>
      <c r="C9" s="160">
        <v>2100</v>
      </c>
    </row>
    <row r="10" spans="1:3" ht="15">
      <c r="A10" s="158"/>
      <c r="B10" s="161" t="s">
        <v>132</v>
      </c>
      <c r="C10" s="160">
        <v>2031</v>
      </c>
    </row>
    <row r="11" spans="1:3" ht="14.25">
      <c r="A11" s="158"/>
      <c r="B11" s="204" t="s">
        <v>133</v>
      </c>
      <c r="C11" s="205">
        <v>44</v>
      </c>
    </row>
    <row r="12" spans="1:3" ht="14.25">
      <c r="A12" s="158"/>
      <c r="B12" s="204" t="s">
        <v>134</v>
      </c>
      <c r="C12" s="205">
        <v>1192</v>
      </c>
    </row>
    <row r="13" spans="1:3" ht="14.25">
      <c r="A13" s="158"/>
      <c r="B13" s="204" t="s">
        <v>135</v>
      </c>
      <c r="C13" s="205">
        <v>372</v>
      </c>
    </row>
    <row r="14" spans="1:3" ht="14.25">
      <c r="A14" s="158"/>
      <c r="B14" s="204" t="s">
        <v>136</v>
      </c>
      <c r="C14" s="205">
        <v>22</v>
      </c>
    </row>
    <row r="15" spans="1:3" ht="14.25">
      <c r="A15" s="158"/>
      <c r="B15" s="204" t="s">
        <v>137</v>
      </c>
      <c r="C15" s="205">
        <v>350</v>
      </c>
    </row>
    <row r="16" spans="1:3" ht="14.25">
      <c r="A16" s="158"/>
      <c r="B16" s="204" t="s">
        <v>138</v>
      </c>
      <c r="C16" s="205">
        <v>1</v>
      </c>
    </row>
    <row r="17" spans="1:5" ht="14.25">
      <c r="A17" s="158"/>
      <c r="B17" s="204" t="s">
        <v>139</v>
      </c>
      <c r="C17" s="205">
        <v>30</v>
      </c>
    </row>
    <row r="18" spans="1:5" ht="14.25">
      <c r="A18" s="158"/>
      <c r="B18" s="206" t="s">
        <v>140</v>
      </c>
      <c r="C18" s="207">
        <v>0</v>
      </c>
    </row>
    <row r="19" spans="1:5" ht="14.25">
      <c r="A19" s="158"/>
      <c r="B19" s="312" t="s">
        <v>301</v>
      </c>
      <c r="C19" s="207">
        <v>0</v>
      </c>
    </row>
    <row r="20" spans="1:5" ht="15">
      <c r="A20" s="158" t="s">
        <v>141</v>
      </c>
      <c r="B20" s="157" t="s">
        <v>142</v>
      </c>
      <c r="C20" s="203"/>
    </row>
    <row r="21" spans="1:5" ht="14.25">
      <c r="A21" s="158"/>
      <c r="B21" s="208" t="s">
        <v>303</v>
      </c>
      <c r="C21" s="209">
        <v>4625</v>
      </c>
    </row>
    <row r="22" spans="1:5" ht="14.25">
      <c r="A22" s="158"/>
      <c r="B22" s="204" t="s">
        <v>304</v>
      </c>
      <c r="C22" s="205">
        <v>4694</v>
      </c>
    </row>
    <row r="23" spans="1:5" ht="14.25">
      <c r="B23" s="204" t="s">
        <v>302</v>
      </c>
      <c r="C23" s="305">
        <f>C9-C10</f>
        <v>69</v>
      </c>
    </row>
    <row r="24" spans="1:5" ht="14.25">
      <c r="B24" s="210"/>
      <c r="C24" s="211"/>
    </row>
    <row r="25" spans="1:5" s="108" customFormat="1" ht="15">
      <c r="B25" s="159" t="s">
        <v>144</v>
      </c>
      <c r="C25" s="212">
        <f>MEDIAN(C21,C22)</f>
        <v>4659.5</v>
      </c>
    </row>
    <row r="26" spans="1:5" ht="15">
      <c r="B26" s="161" t="s">
        <v>299</v>
      </c>
      <c r="C26" s="310">
        <f>C12/C25</f>
        <v>0.25582144006867691</v>
      </c>
    </row>
    <row r="27" spans="1:5" ht="15">
      <c r="B27" s="161" t="s">
        <v>300</v>
      </c>
      <c r="C27" s="310">
        <f>MEDIAN(C9,C10)/C25</f>
        <v>0.44328790642772831</v>
      </c>
      <c r="E27" s="279"/>
    </row>
    <row r="28" spans="1:5" s="108" customFormat="1" ht="15">
      <c r="B28" s="161" t="s">
        <v>254</v>
      </c>
      <c r="C28" s="308">
        <f>12/C27</f>
        <v>27.070442992011618</v>
      </c>
    </row>
    <row r="29" spans="1:5" ht="15">
      <c r="B29" s="161" t="s">
        <v>143</v>
      </c>
      <c r="C29" s="163">
        <v>360</v>
      </c>
    </row>
    <row r="30" spans="1:5" ht="15">
      <c r="B30" s="161" t="s">
        <v>250</v>
      </c>
      <c r="C30" s="163">
        <v>10</v>
      </c>
    </row>
    <row r="31" spans="1:5" ht="15">
      <c r="B31" s="159" t="s">
        <v>251</v>
      </c>
      <c r="C31" s="162">
        <v>30</v>
      </c>
    </row>
    <row r="32" spans="1:5" ht="15">
      <c r="B32" s="159" t="s">
        <v>252</v>
      </c>
      <c r="C32" s="162">
        <v>30</v>
      </c>
    </row>
    <row r="33" spans="2:4" s="108" customFormat="1" ht="15">
      <c r="B33" s="159" t="s">
        <v>146</v>
      </c>
      <c r="C33" s="162">
        <f>30+(3*TRUNC(1/C27))</f>
        <v>36</v>
      </c>
    </row>
    <row r="34" spans="2:4" s="108" customFormat="1" ht="15">
      <c r="B34" s="161" t="s">
        <v>44</v>
      </c>
      <c r="C34" s="309">
        <v>0.08</v>
      </c>
    </row>
    <row r="35" spans="2:4" s="108" customFormat="1" ht="15.75" thickBot="1">
      <c r="B35" s="164" t="s">
        <v>145</v>
      </c>
      <c r="C35" s="311">
        <v>0.4</v>
      </c>
      <c r="D35" s="108" t="s">
        <v>307</v>
      </c>
    </row>
  </sheetData>
  <mergeCells count="1">
    <mergeCell ref="B7:C7"/>
  </mergeCells>
  <pageMargins left="0.90551181102362199" right="0.51181102362204722" top="0.74803149606299213" bottom="0.74803149606299213" header="0.31496062992125984" footer="0.31496062992125984"/>
  <pageSetup paperSize="9" scale="98" orientation="portrait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4"/>
  <sheetViews>
    <sheetView topLeftCell="A4" workbookViewId="0">
      <selection activeCell="E20" sqref="E20"/>
    </sheetView>
  </sheetViews>
  <sheetFormatPr defaultRowHeight="12.75"/>
  <cols>
    <col min="1" max="1" width="41.85546875" bestFit="1" customWidth="1"/>
    <col min="2" max="2" width="5.5703125" bestFit="1" customWidth="1"/>
    <col min="4" max="4" width="9.7109375" bestFit="1" customWidth="1"/>
    <col min="5" max="5" width="8" style="123" bestFit="1" customWidth="1"/>
    <col min="6" max="6" width="9.7109375" bestFit="1" customWidth="1"/>
  </cols>
  <sheetData>
    <row r="1" spans="1:8" s="147" customFormat="1" ht="14.25">
      <c r="A1" s="11" t="s">
        <v>209</v>
      </c>
      <c r="B1" s="145"/>
      <c r="C1" s="145"/>
      <c r="E1" s="148"/>
    </row>
    <row r="2" spans="1:8" s="147" customFormat="1" ht="14.25">
      <c r="A2" s="140" t="s">
        <v>255</v>
      </c>
      <c r="B2" s="145"/>
      <c r="C2" s="145"/>
      <c r="E2" s="148"/>
    </row>
    <row r="3" spans="1:8" s="147" customFormat="1" ht="14.25">
      <c r="A3" s="9" t="s">
        <v>210</v>
      </c>
      <c r="B3" s="145"/>
      <c r="C3" s="145"/>
      <c r="E3" s="148"/>
    </row>
    <row r="4" spans="1:8" s="147" customFormat="1" ht="14.25">
      <c r="A4" s="9"/>
      <c r="B4" s="145"/>
      <c r="C4" s="145"/>
      <c r="E4" s="148"/>
    </row>
    <row r="5" spans="1:8" s="4" customFormat="1" ht="15.6" customHeight="1">
      <c r="A5" s="304" t="s">
        <v>298</v>
      </c>
      <c r="B5" s="139"/>
      <c r="C5" s="139"/>
      <c r="D5" s="139"/>
      <c r="E5" s="139"/>
      <c r="F5" s="139"/>
      <c r="G5" s="6"/>
    </row>
    <row r="6" spans="1:8" s="4" customFormat="1" ht="16.5" customHeight="1">
      <c r="A6" s="304" t="s">
        <v>295</v>
      </c>
      <c r="B6" s="5"/>
      <c r="C6" s="5"/>
      <c r="D6" s="6"/>
      <c r="E6" s="6"/>
      <c r="F6" s="6"/>
      <c r="G6" s="6"/>
    </row>
    <row r="7" spans="1:8" s="147" customFormat="1" ht="15" thickBot="1">
      <c r="B7" s="145"/>
      <c r="C7" s="145"/>
      <c r="E7" s="148"/>
    </row>
    <row r="8" spans="1:8" ht="15.75">
      <c r="A8" s="340" t="s">
        <v>236</v>
      </c>
      <c r="B8" s="341"/>
      <c r="C8" s="341"/>
      <c r="D8" s="341"/>
      <c r="E8" s="341"/>
      <c r="F8" s="342"/>
    </row>
    <row r="9" spans="1:8" ht="16.5" thickBot="1">
      <c r="A9" s="264"/>
      <c r="B9" s="265"/>
      <c r="C9" s="265"/>
      <c r="D9" s="265"/>
      <c r="E9" s="265"/>
      <c r="F9" s="266"/>
    </row>
    <row r="10" spans="1:8" ht="15">
      <c r="A10" s="213"/>
      <c r="B10" s="146"/>
      <c r="C10" s="146"/>
      <c r="D10" s="337" t="s">
        <v>253</v>
      </c>
      <c r="E10" s="338"/>
      <c r="F10" s="339"/>
      <c r="G10" s="147"/>
      <c r="H10" s="147"/>
    </row>
    <row r="11" spans="1:8" ht="15" thickBot="1">
      <c r="A11" s="210"/>
      <c r="B11" s="214"/>
      <c r="C11" s="214"/>
      <c r="D11" s="215" t="s">
        <v>196</v>
      </c>
      <c r="E11" s="216" t="s">
        <v>197</v>
      </c>
      <c r="F11" s="217" t="s">
        <v>198</v>
      </c>
      <c r="G11" s="147"/>
      <c r="H11" s="147"/>
    </row>
    <row r="12" spans="1:8" ht="14.25">
      <c r="A12" s="218" t="s">
        <v>80</v>
      </c>
      <c r="B12" s="219" t="s">
        <v>81</v>
      </c>
      <c r="C12" s="220">
        <v>0.06</v>
      </c>
      <c r="D12" s="241">
        <v>2.9700000000000001E-2</v>
      </c>
      <c r="E12" s="242">
        <v>5.0799999999999998E-2</v>
      </c>
      <c r="F12" s="243">
        <v>6.2700000000000006E-2</v>
      </c>
      <c r="G12" s="147"/>
      <c r="H12" s="147"/>
    </row>
    <row r="13" spans="1:8" ht="14.25">
      <c r="A13" s="222" t="s">
        <v>82</v>
      </c>
      <c r="B13" s="223" t="s">
        <v>83</v>
      </c>
      <c r="C13" s="224">
        <v>0.01</v>
      </c>
      <c r="D13" s="241">
        <f>0.3%+0.56%</f>
        <v>8.6E-3</v>
      </c>
      <c r="E13" s="242">
        <f>0.48%+0.85%</f>
        <v>1.3299999999999999E-2</v>
      </c>
      <c r="F13" s="243">
        <f>0.82%+0.89%</f>
        <v>1.7099999999999997E-2</v>
      </c>
      <c r="G13" s="147"/>
      <c r="H13" s="147"/>
    </row>
    <row r="14" spans="1:8" ht="14.25">
      <c r="A14" s="222" t="s">
        <v>84</v>
      </c>
      <c r="B14" s="223" t="s">
        <v>85</v>
      </c>
      <c r="C14" s="224">
        <v>0.09</v>
      </c>
      <c r="D14" s="241">
        <v>7.7799999999999994E-2</v>
      </c>
      <c r="E14" s="242">
        <v>0.1085</v>
      </c>
      <c r="F14" s="243">
        <v>0.13550000000000001</v>
      </c>
      <c r="G14" s="147"/>
      <c r="H14" s="147"/>
    </row>
    <row r="15" spans="1:8" ht="14.25">
      <c r="A15" s="222" t="s">
        <v>86</v>
      </c>
      <c r="B15" s="223" t="s">
        <v>87</v>
      </c>
      <c r="C15" s="225">
        <f>(1+E15)^(E16/252)-1</f>
        <v>1.3660682031246818E-3</v>
      </c>
      <c r="D15" s="241" t="s">
        <v>290</v>
      </c>
      <c r="E15" s="226">
        <v>3.5000000000000003E-2</v>
      </c>
      <c r="F15" s="221"/>
      <c r="G15" s="147" t="s">
        <v>308</v>
      </c>
      <c r="H15" s="147"/>
    </row>
    <row r="16" spans="1:8" ht="14.25">
      <c r="A16" s="222" t="s">
        <v>88</v>
      </c>
      <c r="B16" s="335" t="s">
        <v>89</v>
      </c>
      <c r="C16" s="224">
        <v>0.02</v>
      </c>
      <c r="D16" s="303" t="s">
        <v>199</v>
      </c>
      <c r="E16" s="227">
        <v>10</v>
      </c>
      <c r="F16" s="228"/>
      <c r="G16" s="147"/>
      <c r="H16" s="147"/>
    </row>
    <row r="17" spans="1:8" ht="15" thickBot="1">
      <c r="A17" s="229" t="s">
        <v>90</v>
      </c>
      <c r="B17" s="336"/>
      <c r="C17" s="230">
        <v>3.6499999999999998E-2</v>
      </c>
      <c r="D17" s="204"/>
      <c r="E17" s="231"/>
      <c r="F17" s="228"/>
      <c r="G17" s="147"/>
      <c r="H17" s="147"/>
    </row>
    <row r="18" spans="1:8" ht="14.25">
      <c r="A18" s="232" t="s">
        <v>91</v>
      </c>
      <c r="B18" s="233"/>
      <c r="C18" s="234"/>
      <c r="D18" s="204"/>
      <c r="E18" s="231"/>
      <c r="F18" s="228"/>
      <c r="G18" s="147"/>
      <c r="H18" s="147"/>
    </row>
    <row r="19" spans="1:8" ht="15" thickBot="1">
      <c r="A19" s="235" t="s">
        <v>92</v>
      </c>
      <c r="B19" s="236"/>
      <c r="C19" s="237"/>
      <c r="D19" s="204"/>
      <c r="E19" s="231"/>
      <c r="F19" s="228"/>
      <c r="G19" s="147"/>
      <c r="H19" s="147"/>
    </row>
    <row r="20" spans="1:8" ht="15.75" thickBot="1">
      <c r="A20" s="238" t="s">
        <v>93</v>
      </c>
      <c r="B20" s="239"/>
      <c r="C20" s="240">
        <f>ROUND((((1+C12+C13)*(1+C14)*(1+C15))/(1-(C16+C17))-1),4)</f>
        <v>0.23780000000000001</v>
      </c>
      <c r="D20" s="244">
        <v>0.21429999999999999</v>
      </c>
      <c r="E20" s="245">
        <v>0.2717</v>
      </c>
      <c r="F20" s="246">
        <v>0.3362</v>
      </c>
      <c r="G20" s="147"/>
      <c r="H20" s="147"/>
    </row>
    <row r="21" spans="1:8" ht="14.25">
      <c r="A21" s="147"/>
      <c r="B21" s="147"/>
      <c r="C21" s="147"/>
      <c r="D21" s="147"/>
      <c r="E21" s="148"/>
      <c r="F21" s="147"/>
      <c r="G21" s="147"/>
      <c r="H21" s="147"/>
    </row>
    <row r="22" spans="1:8" ht="14.25">
      <c r="A22" s="147"/>
      <c r="B22" s="147"/>
      <c r="C22" s="147"/>
      <c r="D22" s="147"/>
      <c r="E22" s="148"/>
      <c r="F22" s="147"/>
      <c r="G22" s="147"/>
      <c r="H22" s="147"/>
    </row>
    <row r="23" spans="1:8" ht="14.25">
      <c r="A23" s="147"/>
      <c r="B23" s="147"/>
      <c r="C23" s="147"/>
      <c r="D23" s="147"/>
      <c r="E23" s="148"/>
      <c r="F23" s="147"/>
      <c r="G23" s="147"/>
      <c r="H23" s="147"/>
    </row>
    <row r="24" spans="1:8" ht="14.25">
      <c r="A24" s="147"/>
      <c r="B24" s="147"/>
      <c r="C24" s="147"/>
      <c r="D24" s="147"/>
      <c r="E24" s="148"/>
      <c r="F24" s="147"/>
      <c r="G24" s="147"/>
      <c r="H24" s="147"/>
    </row>
  </sheetData>
  <mergeCells count="3">
    <mergeCell ref="B16:B17"/>
    <mergeCell ref="D10:F10"/>
    <mergeCell ref="A8:F8"/>
  </mergeCells>
  <pageMargins left="0.90551181102362199" right="0.51181102362204722" top="0.74803149606299213" bottom="0.74803149606299213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B17"/>
  <sheetViews>
    <sheetView workbookViewId="0">
      <selection activeCell="B3" sqref="B3"/>
    </sheetView>
  </sheetViews>
  <sheetFormatPr defaultRowHeight="19.5" customHeight="1"/>
  <cols>
    <col min="1" max="1" width="24.5703125" style="1" customWidth="1"/>
    <col min="2" max="2" width="20.85546875" style="1" customWidth="1"/>
    <col min="3" max="16384" width="9.140625" style="1"/>
  </cols>
  <sheetData>
    <row r="1" spans="1:2" ht="19.5" customHeight="1" thickBot="1">
      <c r="A1" s="343" t="s">
        <v>238</v>
      </c>
      <c r="B1" s="344"/>
    </row>
    <row r="2" spans="1:2" s="108" customFormat="1" ht="19.5" customHeight="1">
      <c r="A2" s="267" t="s">
        <v>213</v>
      </c>
      <c r="B2" s="268" t="s">
        <v>292</v>
      </c>
    </row>
    <row r="3" spans="1:2" ht="19.5" customHeight="1">
      <c r="A3" s="166">
        <v>1</v>
      </c>
      <c r="B3" s="165">
        <v>33.629999999999995</v>
      </c>
    </row>
    <row r="4" spans="1:2" ht="19.5" customHeight="1">
      <c r="A4" s="166">
        <v>2</v>
      </c>
      <c r="B4" s="165">
        <v>43.13</v>
      </c>
    </row>
    <row r="5" spans="1:2" ht="19.5" customHeight="1">
      <c r="A5" s="166">
        <v>3</v>
      </c>
      <c r="B5" s="165">
        <v>48.68</v>
      </c>
    </row>
    <row r="6" spans="1:2" ht="19.5" customHeight="1">
      <c r="A6" s="166">
        <v>4</v>
      </c>
      <c r="B6" s="165">
        <v>52.62</v>
      </c>
    </row>
    <row r="7" spans="1:2" ht="19.5" customHeight="1">
      <c r="A7" s="166">
        <v>5</v>
      </c>
      <c r="B7" s="165">
        <v>55.679999999999993</v>
      </c>
    </row>
    <row r="8" spans="1:2" ht="19.5" customHeight="1">
      <c r="A8" s="166">
        <v>6</v>
      </c>
      <c r="B8" s="165">
        <v>58.18</v>
      </c>
    </row>
    <row r="9" spans="1:2" ht="19.5" customHeight="1">
      <c r="A9" s="166">
        <v>7</v>
      </c>
      <c r="B9" s="165">
        <v>60.29</v>
      </c>
    </row>
    <row r="10" spans="1:2" ht="19.5" customHeight="1">
      <c r="A10" s="166">
        <v>8</v>
      </c>
      <c r="B10" s="165">
        <v>62.12</v>
      </c>
    </row>
    <row r="11" spans="1:2" ht="19.5" customHeight="1">
      <c r="A11" s="166">
        <v>9</v>
      </c>
      <c r="B11" s="165">
        <v>63.73</v>
      </c>
    </row>
    <row r="12" spans="1:2" ht="19.5" customHeight="1">
      <c r="A12" s="166">
        <v>10</v>
      </c>
      <c r="B12" s="165">
        <v>65.180000000000007</v>
      </c>
    </row>
    <row r="13" spans="1:2" ht="19.5" customHeight="1">
      <c r="A13" s="166">
        <v>11</v>
      </c>
      <c r="B13" s="165">
        <v>66.47999999999999</v>
      </c>
    </row>
    <row r="14" spans="1:2" ht="19.5" customHeight="1">
      <c r="A14" s="166">
        <v>12</v>
      </c>
      <c r="B14" s="165">
        <v>67.67</v>
      </c>
    </row>
    <row r="15" spans="1:2" ht="19.5" customHeight="1">
      <c r="A15" s="166">
        <v>13</v>
      </c>
      <c r="B15" s="165">
        <v>68.77</v>
      </c>
    </row>
    <row r="16" spans="1:2" ht="19.5" customHeight="1">
      <c r="A16" s="166">
        <v>14</v>
      </c>
      <c r="B16" s="165">
        <v>69.789999999999992</v>
      </c>
    </row>
    <row r="17" spans="1:2" ht="19.5" customHeight="1" thickBot="1">
      <c r="A17" s="167">
        <v>15</v>
      </c>
      <c r="B17" s="168">
        <v>70.73</v>
      </c>
    </row>
  </sheetData>
  <mergeCells count="1">
    <mergeCell ref="A1:B1"/>
  </mergeCells>
  <pageMargins left="0.90551181102362199" right="0.51181102362204722" top="0.74803149606299213" bottom="0.74803149606299213" header="0.31496062992125984" footer="0.31496062992125984"/>
  <pageSetup paperSize="9" orientation="portrait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7"/>
  <sheetViews>
    <sheetView workbookViewId="0">
      <selection activeCell="A24" sqref="A24"/>
    </sheetView>
  </sheetViews>
  <sheetFormatPr defaultRowHeight="12.75"/>
  <cols>
    <col min="1" max="1" width="70.42578125" style="1" customWidth="1"/>
    <col min="2" max="3" width="9.140625" style="1"/>
    <col min="4" max="4" width="12.85546875" style="1" bestFit="1" customWidth="1"/>
    <col min="5" max="16384" width="9.140625" style="1"/>
  </cols>
  <sheetData>
    <row r="1" spans="1:1" ht="18">
      <c r="A1" s="250" t="s">
        <v>242</v>
      </c>
    </row>
    <row r="2" spans="1:1">
      <c r="A2" s="247"/>
    </row>
    <row r="3" spans="1:1">
      <c r="A3" s="247" t="s">
        <v>256</v>
      </c>
    </row>
    <row r="4" spans="1:1">
      <c r="A4" s="247"/>
    </row>
    <row r="5" spans="1:1">
      <c r="A5" s="247"/>
    </row>
    <row r="6" spans="1:1">
      <c r="A6" s="247"/>
    </row>
    <row r="7" spans="1:1">
      <c r="A7" s="247"/>
    </row>
    <row r="8" spans="1:1">
      <c r="A8" s="247"/>
    </row>
    <row r="9" spans="1:1">
      <c r="A9" s="247"/>
    </row>
    <row r="10" spans="1:1">
      <c r="A10" s="247"/>
    </row>
    <row r="11" spans="1:1">
      <c r="A11" s="247"/>
    </row>
    <row r="12" spans="1:1" ht="19.5">
      <c r="A12" s="248" t="s">
        <v>239</v>
      </c>
    </row>
    <row r="13" spans="1:1" ht="15">
      <c r="A13" s="248" t="s">
        <v>116</v>
      </c>
    </row>
    <row r="14" spans="1:1" ht="15">
      <c r="A14" s="248" t="s">
        <v>121</v>
      </c>
    </row>
    <row r="15" spans="1:1" ht="19.5">
      <c r="A15" s="248" t="s">
        <v>240</v>
      </c>
    </row>
    <row r="16" spans="1:1" ht="19.5">
      <c r="A16" s="248" t="s">
        <v>241</v>
      </c>
    </row>
    <row r="17" spans="1:1" ht="15.75" thickBot="1">
      <c r="A17" s="249" t="s">
        <v>117</v>
      </c>
    </row>
  </sheetData>
  <pageMargins left="0.90551181102362199" right="0.51181102362204722" top="0.74803149606299213" bottom="0.74803149606299213" header="0.31496062992125984" footer="0.31496062992125984"/>
  <pageSetup paperSize="9" orientation="portrait" verticalDpi="597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4"/>
  <sheetViews>
    <sheetView topLeftCell="A4" workbookViewId="0">
      <selection activeCell="C12" sqref="C12"/>
    </sheetView>
  </sheetViews>
  <sheetFormatPr defaultRowHeight="12.75"/>
  <cols>
    <col min="1" max="1" width="58.28515625" style="279" customWidth="1"/>
    <col min="2" max="2" width="11.140625" style="279" bestFit="1" customWidth="1"/>
    <col min="3" max="3" width="11.28515625" style="279" bestFit="1" customWidth="1"/>
    <col min="4" max="16384" width="9.140625" style="279"/>
  </cols>
  <sheetData>
    <row r="1" spans="1:7">
      <c r="A1" s="11" t="s">
        <v>209</v>
      </c>
    </row>
    <row r="2" spans="1:7">
      <c r="A2" s="284" t="s">
        <v>267</v>
      </c>
    </row>
    <row r="3" spans="1:7">
      <c r="A3" s="284" t="s">
        <v>293</v>
      </c>
    </row>
    <row r="4" spans="1:7">
      <c r="A4" s="7" t="s">
        <v>291</v>
      </c>
    </row>
    <row r="5" spans="1:7">
      <c r="A5" s="7"/>
    </row>
    <row r="6" spans="1:7" s="4" customFormat="1" ht="15.6" customHeight="1">
      <c r="A6" s="304" t="s">
        <v>298</v>
      </c>
      <c r="B6" s="139"/>
      <c r="C6" s="139"/>
      <c r="D6" s="139"/>
      <c r="E6" s="139"/>
      <c r="F6" s="139"/>
      <c r="G6" s="6"/>
    </row>
    <row r="7" spans="1:7" s="4" customFormat="1" ht="16.5" customHeight="1">
      <c r="A7" s="304" t="s">
        <v>295</v>
      </c>
      <c r="B7" s="5"/>
      <c r="C7" s="5"/>
      <c r="D7" s="6"/>
      <c r="E7" s="6"/>
      <c r="F7" s="6"/>
      <c r="G7" s="6"/>
    </row>
    <row r="8" spans="1:7" ht="13.5" thickBot="1"/>
    <row r="9" spans="1:7" ht="18">
      <c r="A9" s="345" t="s">
        <v>287</v>
      </c>
      <c r="B9" s="346"/>
      <c r="C9" s="347"/>
    </row>
    <row r="10" spans="1:7" s="285" customFormat="1" ht="18">
      <c r="A10" s="300"/>
      <c r="B10" s="299"/>
      <c r="C10" s="301"/>
    </row>
    <row r="11" spans="1:7" s="108" customFormat="1" ht="15">
      <c r="A11" s="286" t="s">
        <v>288</v>
      </c>
      <c r="B11" s="287" t="s">
        <v>268</v>
      </c>
      <c r="C11" s="288" t="s">
        <v>149</v>
      </c>
    </row>
    <row r="12" spans="1:7" ht="14.25">
      <c r="A12" s="289" t="s">
        <v>276</v>
      </c>
      <c r="B12" s="290" t="s">
        <v>269</v>
      </c>
      <c r="C12" s="205">
        <v>1500</v>
      </c>
    </row>
    <row r="13" spans="1:7" ht="14.25">
      <c r="A13" s="204" t="s">
        <v>277</v>
      </c>
      <c r="B13" s="291" t="s">
        <v>274</v>
      </c>
      <c r="C13" s="292">
        <f>0.0362741*C12^0.2336249</f>
        <v>0.2002675794475747</v>
      </c>
    </row>
    <row r="14" spans="1:7" ht="14.25">
      <c r="A14" s="204" t="s">
        <v>278</v>
      </c>
      <c r="B14" s="291" t="s">
        <v>275</v>
      </c>
      <c r="C14" s="293">
        <f>C12*C13/1000</f>
        <v>0.30040136917136201</v>
      </c>
    </row>
    <row r="15" spans="1:7" ht="14.25">
      <c r="A15" s="204" t="s">
        <v>284</v>
      </c>
      <c r="B15" s="291" t="s">
        <v>270</v>
      </c>
      <c r="C15" s="294">
        <f>(C14*30)</f>
        <v>9.0120410751408606</v>
      </c>
    </row>
    <row r="16" spans="1:7" ht="14.25">
      <c r="A16" s="204" t="s">
        <v>280</v>
      </c>
      <c r="B16" s="291" t="s">
        <v>97</v>
      </c>
      <c r="C16" s="297">
        <v>1</v>
      </c>
    </row>
    <row r="17" spans="1:3" ht="14.25">
      <c r="A17" s="204" t="s">
        <v>279</v>
      </c>
      <c r="B17" s="291" t="s">
        <v>275</v>
      </c>
      <c r="C17" s="293">
        <f>IFERROR(C14*7/C16,0)</f>
        <v>2.1028095841995342</v>
      </c>
    </row>
    <row r="18" spans="1:3" ht="14.25">
      <c r="A18" s="289" t="s">
        <v>271</v>
      </c>
      <c r="B18" s="291" t="s">
        <v>272</v>
      </c>
      <c r="C18" s="228">
        <v>500</v>
      </c>
    </row>
    <row r="19" spans="1:3" ht="14.25">
      <c r="A19" s="204" t="s">
        <v>285</v>
      </c>
      <c r="B19" s="291"/>
      <c r="C19" s="205">
        <v>2</v>
      </c>
    </row>
    <row r="20" spans="1:3" ht="14.25">
      <c r="A20" s="289" t="s">
        <v>286</v>
      </c>
      <c r="B20" s="291" t="s">
        <v>273</v>
      </c>
      <c r="C20" s="205">
        <v>6</v>
      </c>
    </row>
    <row r="21" spans="1:3" ht="14.25">
      <c r="A21" s="204" t="s">
        <v>281</v>
      </c>
      <c r="B21" s="291" t="s">
        <v>270</v>
      </c>
      <c r="C21" s="228">
        <f>IF(AND(C20&gt;=15,C19=1),5.8,C20/2)</f>
        <v>3</v>
      </c>
    </row>
    <row r="22" spans="1:3" ht="14.25">
      <c r="A22" s="289" t="s">
        <v>282</v>
      </c>
      <c r="B22" s="291"/>
      <c r="C22" s="293">
        <f>IFERROR(C17/C21,0)</f>
        <v>0.70093652806651141</v>
      </c>
    </row>
    <row r="23" spans="1:3" ht="14.25">
      <c r="A23" s="289" t="s">
        <v>289</v>
      </c>
      <c r="B23" s="291"/>
      <c r="C23" s="302">
        <v>1</v>
      </c>
    </row>
    <row r="24" spans="1:3" ht="15" thickBot="1">
      <c r="A24" s="295" t="s">
        <v>283</v>
      </c>
      <c r="B24" s="296"/>
      <c r="C24" s="298">
        <f>IFERROR(C22/C23,0)</f>
        <v>0.70093652806651141</v>
      </c>
    </row>
  </sheetData>
  <mergeCells count="1">
    <mergeCell ref="A9:C9"/>
  </mergeCells>
  <conditionalFormatting sqref="C21">
    <cfRule type="expression" dxfId="0" priority="1">
      <formula>"SE(E(C20&gt;=15;C19=1))"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4</vt:i4>
      </vt:variant>
    </vt:vector>
  </HeadingPairs>
  <TitlesOfParts>
    <vt:vector size="11" baseType="lpstr">
      <vt:lpstr>1. Coleta Domiciliar</vt:lpstr>
      <vt:lpstr>2.Encargos Sociais</vt:lpstr>
      <vt:lpstr>3.CAGED</vt:lpstr>
      <vt:lpstr>4.BDI</vt:lpstr>
      <vt:lpstr>5. Depreciação</vt:lpstr>
      <vt:lpstr>6.Remuneração de capital</vt:lpstr>
      <vt:lpstr>7. Dimensionamento</vt:lpstr>
      <vt:lpstr>AbaDeprec</vt:lpstr>
      <vt:lpstr>AbaRemun</vt:lpstr>
      <vt:lpstr>'1. Coleta Domiciliar'!Area_de_impressao</vt:lpstr>
      <vt:lpstr>'2.Encargos Sociais'!Area_de_impressao</vt:lpstr>
    </vt:vector>
  </TitlesOfParts>
  <Company>dmlu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Custos Coleta e Transporte RSU</dc:title>
  <dc:creator>Flavia Burmeister Martins</dc:creator>
  <cp:lastModifiedBy>DexPC</cp:lastModifiedBy>
  <cp:lastPrinted>2021-06-09T14:53:56Z</cp:lastPrinted>
  <dcterms:created xsi:type="dcterms:W3CDTF">2000-12-13T10:02:50Z</dcterms:created>
  <dcterms:modified xsi:type="dcterms:W3CDTF">2021-06-09T15:05:32Z</dcterms:modified>
</cp:coreProperties>
</file>